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drawings/drawing2.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charts/chart1.xml" ContentType="application/vnd.openxmlformats-officedocument.drawingml.chart+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Metadata/metadata.xml" ContentType="application/vnd.titus.tmi.metadata+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SPS\RESOURCES\Handbook_MYP\2024-2 SPS MYP Documentation\"/>
    </mc:Choice>
  </mc:AlternateContent>
  <bookViews>
    <workbookView xWindow="360" yWindow="120" windowWidth="20115" windowHeight="9780" tabRatio="697"/>
  </bookViews>
  <sheets>
    <sheet name="Info" sheetId="5" r:id="rId1"/>
    <sheet name="Detail" sheetId="29" r:id="rId2"/>
    <sheet name="Summary" sheetId="19" r:id="rId3"/>
    <sheet name="Financial Record" sheetId="1" r:id="rId4"/>
    <sheet name="Milestone 1" sheetId="30" r:id="rId5"/>
    <sheet name="Milestone 2" sheetId="31" r:id="rId6"/>
    <sheet name="Milestone 3" sheetId="32" r:id="rId7"/>
    <sheet name="Milestone 4" sheetId="33" r:id="rId8"/>
    <sheet name="Final" sheetId="34" r:id="rId9"/>
    <sheet name="Property" sheetId="35" r:id="rId10"/>
    <sheet name="Financial Report" sheetId="8" state="hidden" r:id="rId11"/>
    <sheet name="Current" sheetId="28" state="hidden" r:id="rId12"/>
    <sheet name="Reference" sheetId="4" state="hidden" r:id="rId13"/>
  </sheets>
  <definedNames>
    <definedName name="AccountBalance">'Financial Record'!$C$10</definedName>
    <definedName name="allCountryList">allCountries[AllCountries]</definedName>
    <definedName name="approvedBudget">Info!$C$2</definedName>
    <definedName name="cleanDateFinal">IF(ISBLANK(dateFinal), 200000,dateFinal)</definedName>
    <definedName name="cleanDateKickoff">IF(ISBLANK(dateKickoff),200000,dateKickoff)</definedName>
    <definedName name="cleanDateMilestone1">IF(ISBLANK(dateMilestone1),200000,dateMilestone1)</definedName>
    <definedName name="cleanDateMilestone2">IF(ISBLANK(dateMilestone2),200000,dateMilestone2)</definedName>
    <definedName name="cleanDateMilestone3">IF(ISBLANK(dateMilestone3),200000,dateMilestone3)</definedName>
    <definedName name="cleanDateMilestone4">IF(ISBLANK(dateMilestone4),200000,dateMilestone4)</definedName>
    <definedName name="currency_code">currency[Code]</definedName>
    <definedName name="dateFinal">'Financial Record'!$C$18</definedName>
    <definedName name="dateKickoff">'Financial Record'!$C$13</definedName>
    <definedName name="dateMilestone1">'Financial Record'!$C$14</definedName>
    <definedName name="dateMilestone2">'Financial Record'!$C$15</definedName>
    <definedName name="dateMilestone3">'Financial Record'!$C$16</definedName>
    <definedName name="dateMilestone4">'Financial Record'!$C$17</definedName>
    <definedName name="dateReport">'Financial Report'!$M$2</definedName>
    <definedName name="directorsLast">INDEX(directors[Last],1):INDEX(directors[Last],SUMPRODUCT(--(directors[Last]&lt;&gt;"")))</definedName>
    <definedName name="expense_categories">categories[Expense Categories]</definedName>
    <definedName name="IPRStatusList">IPRStatus[IPR Status]</definedName>
    <definedName name="kickoffDate">Info!$C$5</definedName>
    <definedName name="milestoneCurrent">Reference!$M$2</definedName>
    <definedName name="milestoneReport">'Financial Report'!$M$5</definedName>
    <definedName name="natoCountryList">NATOCountries[NATO Countries]</definedName>
    <definedName name="NATOFundsReceived">'Financial Record'!$A$10</definedName>
    <definedName name="noYes">yesNo[YesNo]</definedName>
    <definedName name="NPDName">'Financial Record'!$F$2</definedName>
    <definedName name="numCategories">8</definedName>
    <definedName name="partnerCountryList">partnerCountries[Partner Countries]</definedName>
    <definedName name="paymentFinal">'Financial Record'!$D$18</definedName>
    <definedName name="paymentKickoff">'Financial Record'!$D$13</definedName>
    <definedName name="paymentMilestone1">'Financial Record'!$D$14</definedName>
    <definedName name="paymentMilestone2">'Financial Record'!$D$15</definedName>
    <definedName name="paymentMilestone3">'Financial Record'!$D$16</definedName>
    <definedName name="paymentMilestone4">'Financial Record'!$D$17</definedName>
    <definedName name="ProjectBalance">'Financial Record'!$E$10</definedName>
    <definedName name="projectDuration">Info!$B$5</definedName>
    <definedName name="projectTitle">Info!$D$2</definedName>
    <definedName name="shortTitle">Info!$E$2</definedName>
    <definedName name="spsRefNo">Info!$A$2</definedName>
    <definedName name="stages">milestones[Milestones]</definedName>
  </definedNames>
  <calcPr calcId="162913"/>
</workbook>
</file>

<file path=xl/calcChain.xml><?xml version="1.0" encoding="utf-8"?>
<calcChain xmlns="http://schemas.openxmlformats.org/spreadsheetml/2006/main">
  <c r="C501" i="29" l="1"/>
  <c r="D501" i="29"/>
  <c r="E501" i="29"/>
  <c r="F501" i="29"/>
  <c r="B501" i="29"/>
  <c r="C496" i="29"/>
  <c r="D496" i="29"/>
  <c r="E496" i="29"/>
  <c r="F496" i="29"/>
  <c r="B496" i="29"/>
  <c r="C491" i="29"/>
  <c r="D491" i="29"/>
  <c r="E491" i="29"/>
  <c r="F491" i="29"/>
  <c r="B491" i="29"/>
  <c r="C487" i="29"/>
  <c r="D487" i="29"/>
  <c r="E487" i="29"/>
  <c r="F487" i="29"/>
  <c r="B487" i="29"/>
  <c r="C482" i="29"/>
  <c r="D482" i="29"/>
  <c r="E482" i="29"/>
  <c r="F482" i="29"/>
  <c r="B482" i="29"/>
  <c r="C478" i="29"/>
  <c r="D478" i="29"/>
  <c r="E478" i="29"/>
  <c r="F478" i="29"/>
  <c r="B478" i="29"/>
  <c r="C473" i="29"/>
  <c r="D473" i="29"/>
  <c r="E473" i="29"/>
  <c r="F473" i="29"/>
  <c r="B473" i="29"/>
  <c r="C469" i="29"/>
  <c r="D469" i="29"/>
  <c r="E469" i="29"/>
  <c r="F469" i="29"/>
  <c r="B469" i="29"/>
  <c r="C452" i="29"/>
  <c r="D452" i="29"/>
  <c r="E452" i="29"/>
  <c r="F452" i="29"/>
  <c r="B452" i="29"/>
  <c r="C447" i="29"/>
  <c r="D447" i="29"/>
  <c r="E447" i="29"/>
  <c r="F447" i="29"/>
  <c r="B447" i="29"/>
  <c r="C442" i="29"/>
  <c r="D442" i="29"/>
  <c r="E442" i="29"/>
  <c r="F442" i="29"/>
  <c r="B442" i="29"/>
  <c r="C438" i="29"/>
  <c r="D438" i="29"/>
  <c r="E438" i="29"/>
  <c r="F438" i="29"/>
  <c r="B438" i="29"/>
  <c r="C433" i="29"/>
  <c r="D433" i="29"/>
  <c r="E433" i="29"/>
  <c r="F433" i="29"/>
  <c r="B433" i="29"/>
  <c r="C424" i="29"/>
  <c r="D424" i="29"/>
  <c r="E424" i="29"/>
  <c r="F424" i="29"/>
  <c r="B424" i="29"/>
  <c r="C420" i="29"/>
  <c r="D420" i="29"/>
  <c r="E420" i="29"/>
  <c r="F420" i="29"/>
  <c r="B420" i="29"/>
  <c r="C403" i="29"/>
  <c r="D403" i="29"/>
  <c r="E403" i="29"/>
  <c r="F403" i="29"/>
  <c r="B403" i="29"/>
  <c r="C398" i="29"/>
  <c r="D398" i="29"/>
  <c r="E398" i="29"/>
  <c r="F398" i="29"/>
  <c r="B398" i="29"/>
  <c r="C393" i="29"/>
  <c r="D393" i="29"/>
  <c r="E393" i="29"/>
  <c r="F393" i="29"/>
  <c r="B393" i="29"/>
  <c r="C389" i="29"/>
  <c r="D389" i="29"/>
  <c r="E389" i="29"/>
  <c r="F389" i="29"/>
  <c r="B389" i="29"/>
  <c r="C384" i="29"/>
  <c r="D384" i="29"/>
  <c r="E384" i="29"/>
  <c r="F384" i="29"/>
  <c r="B384" i="29"/>
  <c r="C380" i="29"/>
  <c r="D380" i="29"/>
  <c r="E380" i="29"/>
  <c r="F380" i="29"/>
  <c r="B380" i="29"/>
  <c r="C375" i="29"/>
  <c r="D375" i="29"/>
  <c r="E375" i="29"/>
  <c r="F375" i="29"/>
  <c r="B375" i="29"/>
  <c r="C371" i="29"/>
  <c r="D371" i="29"/>
  <c r="E371" i="29"/>
  <c r="F371" i="29"/>
  <c r="B371" i="29"/>
  <c r="C354" i="29"/>
  <c r="D354" i="29"/>
  <c r="E354" i="29"/>
  <c r="F354" i="29"/>
  <c r="B354" i="29"/>
  <c r="C349" i="29"/>
  <c r="D349" i="29"/>
  <c r="E349" i="29"/>
  <c r="F349" i="29"/>
  <c r="B349" i="29"/>
  <c r="C344" i="29"/>
  <c r="D344" i="29"/>
  <c r="E344" i="29"/>
  <c r="F344" i="29"/>
  <c r="B344" i="29"/>
  <c r="C340" i="29"/>
  <c r="D340" i="29"/>
  <c r="E340" i="29"/>
  <c r="F340" i="29"/>
  <c r="B340" i="29"/>
  <c r="C335" i="29"/>
  <c r="D335" i="29"/>
  <c r="E335" i="29"/>
  <c r="F335" i="29"/>
  <c r="B335" i="29"/>
  <c r="C326" i="29"/>
  <c r="D326" i="29"/>
  <c r="E326" i="29"/>
  <c r="F326" i="29"/>
  <c r="B326" i="29"/>
  <c r="C322" i="29"/>
  <c r="D322" i="29"/>
  <c r="E322" i="29"/>
  <c r="F322" i="29"/>
  <c r="B322" i="29"/>
  <c r="C305" i="29"/>
  <c r="D305" i="29"/>
  <c r="E305" i="29"/>
  <c r="F305" i="29"/>
  <c r="B305" i="29"/>
  <c r="C300" i="29"/>
  <c r="D300" i="29"/>
  <c r="E300" i="29"/>
  <c r="F300" i="29"/>
  <c r="B300" i="29"/>
  <c r="C295" i="29"/>
  <c r="D295" i="29"/>
  <c r="E295" i="29"/>
  <c r="F295" i="29"/>
  <c r="B295" i="29"/>
  <c r="C291" i="29"/>
  <c r="D291" i="29"/>
  <c r="E291" i="29"/>
  <c r="F291" i="29"/>
  <c r="B291" i="29"/>
  <c r="C286" i="29"/>
  <c r="D286" i="29"/>
  <c r="E286" i="29"/>
  <c r="F286" i="29"/>
  <c r="B286" i="29"/>
  <c r="C282" i="29"/>
  <c r="D282" i="29"/>
  <c r="E282" i="29"/>
  <c r="F282" i="29"/>
  <c r="B282" i="29"/>
  <c r="C277" i="29"/>
  <c r="D277" i="29"/>
  <c r="E277" i="29"/>
  <c r="F277" i="29"/>
  <c r="B277" i="29"/>
  <c r="C273" i="29"/>
  <c r="D273" i="29"/>
  <c r="E273" i="29"/>
  <c r="F273" i="29"/>
  <c r="B273" i="29"/>
  <c r="C256" i="29"/>
  <c r="D256" i="29"/>
  <c r="E256" i="29"/>
  <c r="F256" i="29"/>
  <c r="B256" i="29"/>
  <c r="C251" i="29"/>
  <c r="D251" i="29"/>
  <c r="E251" i="29"/>
  <c r="F251" i="29"/>
  <c r="B251" i="29"/>
  <c r="C246" i="29"/>
  <c r="D246" i="29"/>
  <c r="E246" i="29"/>
  <c r="F246" i="29"/>
  <c r="C238" i="29"/>
  <c r="D238" i="29"/>
  <c r="E238" i="29"/>
  <c r="F238" i="29"/>
  <c r="B246" i="29"/>
  <c r="B238" i="29"/>
  <c r="C233" i="29"/>
  <c r="D233" i="29"/>
  <c r="E233" i="29"/>
  <c r="F233" i="29"/>
  <c r="B233" i="29"/>
  <c r="C229" i="29"/>
  <c r="D229" i="29"/>
  <c r="E229" i="29"/>
  <c r="F229" i="29"/>
  <c r="B229" i="29"/>
  <c r="C224" i="29"/>
  <c r="D224" i="29"/>
  <c r="E224" i="29"/>
  <c r="F224" i="29"/>
  <c r="B224" i="29"/>
  <c r="C220" i="29"/>
  <c r="D220" i="29"/>
  <c r="E220" i="29"/>
  <c r="F220" i="29"/>
  <c r="B220" i="29"/>
  <c r="C203" i="29"/>
  <c r="D203" i="29"/>
  <c r="E203" i="29"/>
  <c r="F203" i="29"/>
  <c r="B203" i="29"/>
  <c r="C198" i="29"/>
  <c r="D198" i="29"/>
  <c r="E198" i="29"/>
  <c r="F198" i="29"/>
  <c r="B198" i="29"/>
  <c r="C193" i="29"/>
  <c r="D193" i="29"/>
  <c r="E193" i="29"/>
  <c r="F193" i="29"/>
  <c r="B193" i="29"/>
  <c r="C189" i="29"/>
  <c r="D189" i="29"/>
  <c r="E189" i="29"/>
  <c r="F189" i="29"/>
  <c r="B189" i="29"/>
  <c r="C184" i="29"/>
  <c r="D184" i="29"/>
  <c r="E184" i="29"/>
  <c r="F184" i="29"/>
  <c r="B184" i="29"/>
  <c r="C180" i="29"/>
  <c r="D180" i="29"/>
  <c r="E180" i="29"/>
  <c r="F180" i="29"/>
  <c r="B180" i="29"/>
  <c r="C175" i="29"/>
  <c r="D175" i="29"/>
  <c r="E175" i="29"/>
  <c r="F175" i="29"/>
  <c r="B175" i="29"/>
  <c r="C171" i="29"/>
  <c r="D171" i="29"/>
  <c r="E171" i="29"/>
  <c r="F171" i="29"/>
  <c r="B171" i="29"/>
  <c r="C154" i="29"/>
  <c r="D154" i="29"/>
  <c r="E154" i="29"/>
  <c r="F154" i="29"/>
  <c r="B154" i="29"/>
  <c r="C149" i="29"/>
  <c r="D149" i="29"/>
  <c r="E149" i="29"/>
  <c r="F149" i="29"/>
  <c r="B149" i="29"/>
  <c r="C144" i="29"/>
  <c r="D144" i="29"/>
  <c r="E144" i="29"/>
  <c r="F144" i="29"/>
  <c r="B144" i="29"/>
  <c r="C137" i="29"/>
  <c r="D137" i="29"/>
  <c r="E137" i="29"/>
  <c r="F137" i="29"/>
  <c r="B137" i="29"/>
  <c r="C132" i="29"/>
  <c r="D132" i="29"/>
  <c r="E132" i="29"/>
  <c r="F132" i="29"/>
  <c r="B132" i="29"/>
  <c r="C128" i="29"/>
  <c r="D128" i="29"/>
  <c r="E128" i="29"/>
  <c r="F128" i="29"/>
  <c r="B128" i="29"/>
  <c r="C123" i="29"/>
  <c r="D123" i="29"/>
  <c r="E123" i="29"/>
  <c r="F123" i="29"/>
  <c r="B123" i="29"/>
  <c r="C119" i="29"/>
  <c r="D119" i="29"/>
  <c r="E119" i="29"/>
  <c r="F119" i="29"/>
  <c r="B119" i="29"/>
  <c r="C102" i="29"/>
  <c r="D102" i="29"/>
  <c r="E102" i="29"/>
  <c r="F102" i="29"/>
  <c r="B102" i="29"/>
  <c r="C97" i="29"/>
  <c r="D97" i="29"/>
  <c r="E97" i="29"/>
  <c r="F97" i="29"/>
  <c r="B97" i="29"/>
  <c r="C92" i="29"/>
  <c r="D92" i="29"/>
  <c r="E92" i="29"/>
  <c r="F92" i="29"/>
  <c r="B92" i="29"/>
  <c r="C84" i="29"/>
  <c r="D84" i="29"/>
  <c r="E84" i="29"/>
  <c r="F84" i="29"/>
  <c r="B84" i="29"/>
  <c r="C79" i="29"/>
  <c r="D79" i="29"/>
  <c r="E79" i="29"/>
  <c r="F79" i="29"/>
  <c r="B79" i="29"/>
  <c r="C75" i="29"/>
  <c r="D75" i="29"/>
  <c r="E75" i="29"/>
  <c r="F75" i="29"/>
  <c r="B75" i="29"/>
  <c r="C70" i="29"/>
  <c r="D70" i="29"/>
  <c r="E70" i="29"/>
  <c r="F70" i="29"/>
  <c r="B70" i="29"/>
  <c r="C66" i="29"/>
  <c r="D66" i="29"/>
  <c r="E66" i="29"/>
  <c r="F66" i="29"/>
  <c r="B66" i="29"/>
  <c r="C49" i="29"/>
  <c r="D49" i="29"/>
  <c r="E49" i="29"/>
  <c r="F49" i="29"/>
  <c r="B49" i="29"/>
  <c r="C44" i="29"/>
  <c r="D44" i="29"/>
  <c r="E44" i="29"/>
  <c r="F44" i="29"/>
  <c r="B44" i="29"/>
  <c r="C39" i="29"/>
  <c r="D39" i="29"/>
  <c r="E39" i="29"/>
  <c r="F39" i="29"/>
  <c r="B39" i="29"/>
  <c r="C31" i="29"/>
  <c r="D31" i="29"/>
  <c r="E31" i="29"/>
  <c r="F31" i="29"/>
  <c r="B31" i="29"/>
  <c r="C26" i="29"/>
  <c r="D26" i="29"/>
  <c r="E26" i="29"/>
  <c r="F26" i="29"/>
  <c r="B26" i="29"/>
  <c r="C22" i="29"/>
  <c r="D22" i="29"/>
  <c r="E22" i="29"/>
  <c r="F22" i="29"/>
  <c r="B22" i="29"/>
  <c r="C17" i="29"/>
  <c r="D17" i="29"/>
  <c r="E17" i="29"/>
  <c r="F17" i="29"/>
  <c r="B17" i="29"/>
  <c r="C13" i="29"/>
  <c r="D13" i="29"/>
  <c r="E13" i="29"/>
  <c r="F13" i="29"/>
  <c r="B13" i="29"/>
  <c r="I14" i="30" l="1"/>
  <c r="J28" i="31" l="1"/>
  <c r="J29" i="31"/>
  <c r="J39" i="31"/>
  <c r="J40" i="31"/>
  <c r="J50" i="31"/>
  <c r="J51" i="31"/>
  <c r="O51" i="31" s="1"/>
  <c r="J61" i="31"/>
  <c r="J62" i="31"/>
  <c r="J72" i="31"/>
  <c r="J73" i="31"/>
  <c r="J83" i="31"/>
  <c r="O83" i="31" s="1"/>
  <c r="J84" i="31"/>
  <c r="J94" i="31"/>
  <c r="J95" i="31"/>
  <c r="J105" i="31"/>
  <c r="J106" i="31"/>
  <c r="J116" i="31"/>
  <c r="J117" i="31"/>
  <c r="O50" i="32"/>
  <c r="K28" i="32"/>
  <c r="K29" i="32"/>
  <c r="K39" i="32"/>
  <c r="K40" i="32"/>
  <c r="K50" i="32"/>
  <c r="K51" i="32"/>
  <c r="K61" i="32"/>
  <c r="K62" i="32"/>
  <c r="K72" i="32"/>
  <c r="K73" i="32"/>
  <c r="K83" i="32"/>
  <c r="K84" i="32"/>
  <c r="K94" i="32"/>
  <c r="K95" i="32"/>
  <c r="K105" i="32"/>
  <c r="K106" i="32"/>
  <c r="K116" i="32"/>
  <c r="K117" i="32"/>
  <c r="J28" i="32"/>
  <c r="J29" i="32"/>
  <c r="J39" i="32"/>
  <c r="J40" i="32"/>
  <c r="J50" i="32"/>
  <c r="J51" i="32"/>
  <c r="J61" i="32"/>
  <c r="J62" i="32"/>
  <c r="J72" i="32"/>
  <c r="J73" i="32"/>
  <c r="J83" i="32"/>
  <c r="J84" i="32"/>
  <c r="J94" i="32"/>
  <c r="J95" i="32"/>
  <c r="J105" i="32"/>
  <c r="J106" i="32"/>
  <c r="J116" i="32"/>
  <c r="J117" i="32"/>
  <c r="M28" i="34"/>
  <c r="M29" i="34"/>
  <c r="M39" i="34"/>
  <c r="M40" i="34"/>
  <c r="M50" i="34"/>
  <c r="M51" i="34"/>
  <c r="M61" i="34"/>
  <c r="M62" i="34"/>
  <c r="M72" i="34"/>
  <c r="M73" i="34"/>
  <c r="M83" i="34"/>
  <c r="M84" i="34"/>
  <c r="M94" i="34"/>
  <c r="M95" i="34"/>
  <c r="M105" i="34"/>
  <c r="M106" i="34"/>
  <c r="M116" i="34"/>
  <c r="M117" i="34"/>
  <c r="L28" i="34"/>
  <c r="L29" i="34"/>
  <c r="L39" i="34"/>
  <c r="L50" i="34"/>
  <c r="K28" i="34"/>
  <c r="K29" i="34"/>
  <c r="K39" i="34"/>
  <c r="K40" i="34"/>
  <c r="K50" i="34"/>
  <c r="K51" i="34"/>
  <c r="K61" i="34"/>
  <c r="K62" i="34"/>
  <c r="K72" i="34"/>
  <c r="K73" i="34"/>
  <c r="K83" i="34"/>
  <c r="K84" i="34"/>
  <c r="K94" i="34"/>
  <c r="K95" i="34"/>
  <c r="K105" i="34"/>
  <c r="K106" i="34"/>
  <c r="K116" i="34"/>
  <c r="K117" i="34"/>
  <c r="J28" i="34"/>
  <c r="J29" i="34"/>
  <c r="J39" i="34"/>
  <c r="J40" i="34"/>
  <c r="J50" i="34"/>
  <c r="J51" i="34"/>
  <c r="J61" i="34"/>
  <c r="J62" i="34"/>
  <c r="J72" i="34"/>
  <c r="J73" i="34"/>
  <c r="J83" i="34"/>
  <c r="J84" i="34"/>
  <c r="J94" i="34"/>
  <c r="J95" i="34"/>
  <c r="J105" i="34"/>
  <c r="J106" i="34"/>
  <c r="J116" i="34"/>
  <c r="J117" i="34"/>
  <c r="L28" i="33"/>
  <c r="L29" i="33"/>
  <c r="L39" i="33"/>
  <c r="L50" i="33"/>
  <c r="K28" i="33"/>
  <c r="K29" i="33"/>
  <c r="K39" i="33"/>
  <c r="K40" i="33"/>
  <c r="K50" i="33"/>
  <c r="K51" i="33"/>
  <c r="K61" i="33"/>
  <c r="K62" i="33"/>
  <c r="K72" i="33"/>
  <c r="K73" i="33"/>
  <c r="K83" i="33"/>
  <c r="K84" i="33"/>
  <c r="K94" i="33"/>
  <c r="K95" i="33"/>
  <c r="K105" i="33"/>
  <c r="K106" i="33"/>
  <c r="K116" i="33"/>
  <c r="K117" i="33"/>
  <c r="J28" i="33"/>
  <c r="J29" i="33"/>
  <c r="J39" i="33"/>
  <c r="J40" i="33"/>
  <c r="J50" i="33"/>
  <c r="J51" i="33"/>
  <c r="J61" i="33"/>
  <c r="J62" i="33"/>
  <c r="J72" i="33"/>
  <c r="J73" i="33"/>
  <c r="J83" i="33"/>
  <c r="J84" i="33"/>
  <c r="J94" i="33"/>
  <c r="J95" i="33"/>
  <c r="J105" i="33"/>
  <c r="J106" i="33"/>
  <c r="J116" i="33"/>
  <c r="J117" i="33"/>
  <c r="P126" i="33"/>
  <c r="Q126" i="33"/>
  <c r="R126" i="33"/>
  <c r="P123" i="33"/>
  <c r="Q123" i="33" s="1"/>
  <c r="I123" i="33" s="1"/>
  <c r="P124" i="33"/>
  <c r="Q124" i="33" s="1"/>
  <c r="I124" i="33" s="1"/>
  <c r="P125" i="33"/>
  <c r="R125" i="33" s="1"/>
  <c r="Q125" i="33"/>
  <c r="I125" i="33" s="1"/>
  <c r="R123" i="33"/>
  <c r="P118" i="33"/>
  <c r="R118" i="33" s="1"/>
  <c r="P119" i="33"/>
  <c r="R119" i="33" s="1"/>
  <c r="P120" i="33"/>
  <c r="Q120" i="33" s="1"/>
  <c r="I120" i="33" s="1"/>
  <c r="P121" i="33"/>
  <c r="Q121" i="33" s="1"/>
  <c r="I121" i="33" s="1"/>
  <c r="P122" i="33"/>
  <c r="Q122" i="33" s="1"/>
  <c r="I122" i="33" s="1"/>
  <c r="Q119" i="33"/>
  <c r="I119" i="33" s="1"/>
  <c r="I14" i="34"/>
  <c r="I14" i="33"/>
  <c r="I14" i="32"/>
  <c r="I14" i="31"/>
  <c r="I26" i="30"/>
  <c r="J127" i="32"/>
  <c r="K127" i="32"/>
  <c r="O127" i="32"/>
  <c r="P124" i="32"/>
  <c r="P125" i="32"/>
  <c r="P126" i="32"/>
  <c r="P127" i="32"/>
  <c r="Q124" i="32"/>
  <c r="I124" i="32" s="1"/>
  <c r="Q125" i="32"/>
  <c r="I125" i="32" s="1"/>
  <c r="Q126" i="32"/>
  <c r="Q127" i="32"/>
  <c r="I127" i="32" s="1"/>
  <c r="R124" i="32"/>
  <c r="R125" i="32"/>
  <c r="R126" i="32"/>
  <c r="R127" i="32"/>
  <c r="P118" i="32"/>
  <c r="Q118" i="32" s="1"/>
  <c r="I118" i="32" s="1"/>
  <c r="P119" i="32"/>
  <c r="R119" i="32" s="1"/>
  <c r="P120" i="32"/>
  <c r="Q120" i="32" s="1"/>
  <c r="I120" i="32" s="1"/>
  <c r="P121" i="32"/>
  <c r="P122" i="32"/>
  <c r="P123" i="32"/>
  <c r="Q121" i="32"/>
  <c r="I121" i="32" s="1"/>
  <c r="Q122" i="32"/>
  <c r="I122" i="32" s="1"/>
  <c r="Q123" i="32"/>
  <c r="I123" i="32" s="1"/>
  <c r="R118" i="32"/>
  <c r="R120" i="32"/>
  <c r="R121" i="32"/>
  <c r="R122" i="32"/>
  <c r="L122" i="32" s="1"/>
  <c r="R123" i="32"/>
  <c r="O61" i="31"/>
  <c r="O62" i="31"/>
  <c r="O73" i="31"/>
  <c r="O84" i="31"/>
  <c r="O95" i="31"/>
  <c r="O105" i="31"/>
  <c r="O106" i="31"/>
  <c r="O117" i="31"/>
  <c r="O29" i="31"/>
  <c r="P126" i="31"/>
  <c r="Q126" i="31"/>
  <c r="R126" i="31"/>
  <c r="I126" i="31" s="1"/>
  <c r="P125" i="31"/>
  <c r="Q125" i="31"/>
  <c r="I125" i="31" s="1"/>
  <c r="R125" i="31"/>
  <c r="I122" i="31"/>
  <c r="I123" i="31"/>
  <c r="P118" i="31"/>
  <c r="R118" i="31" s="1"/>
  <c r="P119" i="31"/>
  <c r="P120" i="31"/>
  <c r="P121" i="31"/>
  <c r="P122" i="31"/>
  <c r="P123" i="31"/>
  <c r="P124" i="31"/>
  <c r="Q124" i="31" s="1"/>
  <c r="I124" i="31" s="1"/>
  <c r="Q119" i="31"/>
  <c r="I119" i="31" s="1"/>
  <c r="Q120" i="31"/>
  <c r="I120" i="31" s="1"/>
  <c r="Q121" i="31"/>
  <c r="I121" i="31" s="1"/>
  <c r="Q122" i="31"/>
  <c r="Q123" i="31"/>
  <c r="R119" i="31"/>
  <c r="R120" i="31"/>
  <c r="R121" i="31"/>
  <c r="R122" i="31"/>
  <c r="R123" i="31"/>
  <c r="R124" i="31"/>
  <c r="O50" i="30"/>
  <c r="O51" i="30"/>
  <c r="O61" i="30"/>
  <c r="O72" i="30"/>
  <c r="O73" i="30"/>
  <c r="O83" i="30"/>
  <c r="O94" i="30"/>
  <c r="O95" i="30"/>
  <c r="O105" i="30"/>
  <c r="O116" i="30"/>
  <c r="O117" i="30"/>
  <c r="I124" i="30"/>
  <c r="I125" i="30"/>
  <c r="O127" i="30"/>
  <c r="P118" i="30"/>
  <c r="P119" i="30"/>
  <c r="P120" i="30"/>
  <c r="Q120" i="30" s="1"/>
  <c r="I120" i="30" s="1"/>
  <c r="P121" i="30"/>
  <c r="Q121" i="30" s="1"/>
  <c r="I121" i="30" s="1"/>
  <c r="P122" i="30"/>
  <c r="P123" i="30"/>
  <c r="P124" i="30"/>
  <c r="P125" i="30"/>
  <c r="P126" i="30"/>
  <c r="P127" i="30"/>
  <c r="Q118" i="30"/>
  <c r="I118" i="30" s="1"/>
  <c r="Q119" i="30"/>
  <c r="I119" i="30" s="1"/>
  <c r="Q122" i="30"/>
  <c r="I122" i="30" s="1"/>
  <c r="Q123" i="30"/>
  <c r="I123" i="30" s="1"/>
  <c r="Q124" i="30"/>
  <c r="Q125" i="30"/>
  <c r="Q126" i="30"/>
  <c r="Q127" i="30"/>
  <c r="I127" i="30" s="1"/>
  <c r="R118" i="30"/>
  <c r="R119" i="30"/>
  <c r="R122" i="30"/>
  <c r="R123" i="30"/>
  <c r="R124" i="30"/>
  <c r="R125" i="30"/>
  <c r="R126" i="30"/>
  <c r="R127" i="30"/>
  <c r="I122" i="34"/>
  <c r="I123" i="34"/>
  <c r="P118" i="34"/>
  <c r="P119" i="34"/>
  <c r="P120" i="34"/>
  <c r="P121" i="34"/>
  <c r="P122" i="34"/>
  <c r="P123" i="34"/>
  <c r="P124" i="34"/>
  <c r="R124" i="34" s="1"/>
  <c r="P125" i="34"/>
  <c r="Q125" i="34" s="1"/>
  <c r="I125" i="34" s="1"/>
  <c r="P126" i="34"/>
  <c r="Q118" i="34"/>
  <c r="I118" i="34" s="1"/>
  <c r="Q119" i="34"/>
  <c r="I119" i="34" s="1"/>
  <c r="Q120" i="34"/>
  <c r="I120" i="34" s="1"/>
  <c r="Q121" i="34"/>
  <c r="I121" i="34" s="1"/>
  <c r="Q122" i="34"/>
  <c r="Q123" i="34"/>
  <c r="Q124" i="34"/>
  <c r="I124" i="34" s="1"/>
  <c r="Q126" i="34"/>
  <c r="R118" i="34"/>
  <c r="R119" i="34"/>
  <c r="N119" i="34" s="1"/>
  <c r="R120" i="34"/>
  <c r="R121" i="34"/>
  <c r="N121" i="34" s="1"/>
  <c r="R122" i="34"/>
  <c r="R123" i="34"/>
  <c r="R126" i="34"/>
  <c r="R127" i="19"/>
  <c r="S118" i="19"/>
  <c r="S119" i="19"/>
  <c r="U119" i="19" s="1"/>
  <c r="S120" i="19"/>
  <c r="T120" i="19" s="1"/>
  <c r="L120" i="19" s="1"/>
  <c r="S121" i="19"/>
  <c r="T121" i="19" s="1"/>
  <c r="L121" i="19" s="1"/>
  <c r="S122" i="19"/>
  <c r="S123" i="19"/>
  <c r="S124" i="19"/>
  <c r="S125" i="19"/>
  <c r="S126" i="19"/>
  <c r="S127" i="19"/>
  <c r="U127" i="19" s="1"/>
  <c r="T118" i="19"/>
  <c r="L118" i="19" s="1"/>
  <c r="T122" i="19"/>
  <c r="L122" i="19" s="1"/>
  <c r="T123" i="19"/>
  <c r="L123" i="19" s="1"/>
  <c r="T124" i="19"/>
  <c r="L124" i="19" s="1"/>
  <c r="T125" i="19"/>
  <c r="L125" i="19" s="1"/>
  <c r="T126" i="19"/>
  <c r="U118" i="19"/>
  <c r="U120" i="19"/>
  <c r="U121" i="19"/>
  <c r="U122" i="19"/>
  <c r="U123" i="19"/>
  <c r="U124" i="19"/>
  <c r="U125" i="19"/>
  <c r="U126" i="19"/>
  <c r="G127" i="19"/>
  <c r="H127" i="19"/>
  <c r="I127" i="19"/>
  <c r="A127" i="19" s="1"/>
  <c r="J127" i="19"/>
  <c r="H125" i="19"/>
  <c r="J125" i="19" s="1"/>
  <c r="H126" i="19"/>
  <c r="J126" i="19" s="1"/>
  <c r="I125" i="19"/>
  <c r="A125" i="19" s="1"/>
  <c r="H118" i="19"/>
  <c r="J118" i="19" s="1"/>
  <c r="H119" i="19"/>
  <c r="J119" i="19" s="1"/>
  <c r="H120" i="19"/>
  <c r="I120" i="19" s="1"/>
  <c r="A120" i="19" s="1"/>
  <c r="H121" i="19"/>
  <c r="H122" i="19"/>
  <c r="I122" i="19" s="1"/>
  <c r="A122" i="19" s="1"/>
  <c r="H123" i="19"/>
  <c r="I123" i="19" s="1"/>
  <c r="A123" i="19" s="1"/>
  <c r="H124" i="19"/>
  <c r="J124" i="19" s="1"/>
  <c r="I121" i="19"/>
  <c r="A121" i="19" s="1"/>
  <c r="J121" i="19"/>
  <c r="J122" i="19"/>
  <c r="L8" i="19"/>
  <c r="L9" i="19"/>
  <c r="L10" i="19"/>
  <c r="L11" i="19"/>
  <c r="L12" i="19"/>
  <c r="L13" i="19"/>
  <c r="L14" i="19"/>
  <c r="A497" i="29"/>
  <c r="A501" i="29" s="1"/>
  <c r="A448" i="29"/>
  <c r="A452" i="29" s="1"/>
  <c r="A399" i="29"/>
  <c r="A403" i="29" s="1"/>
  <c r="A350" i="29"/>
  <c r="A354" i="29" s="1"/>
  <c r="A301" i="29"/>
  <c r="A305" i="29" s="1"/>
  <c r="A252" i="29"/>
  <c r="A256" i="29" s="1"/>
  <c r="A199" i="29"/>
  <c r="A203" i="29" s="1"/>
  <c r="L124" i="32" l="1"/>
  <c r="L124" i="34" s="1"/>
  <c r="L123" i="32"/>
  <c r="L123" i="33" s="1"/>
  <c r="L125" i="32"/>
  <c r="K122" i="31"/>
  <c r="K122" i="32" s="1"/>
  <c r="N118" i="34"/>
  <c r="L118" i="32"/>
  <c r="L118" i="34" s="1"/>
  <c r="M125" i="33"/>
  <c r="M125" i="34" s="1"/>
  <c r="J123" i="30"/>
  <c r="J123" i="32" s="1"/>
  <c r="K121" i="31"/>
  <c r="K121" i="33" s="1"/>
  <c r="K124" i="31"/>
  <c r="K124" i="32" s="1"/>
  <c r="J124" i="30"/>
  <c r="J124" i="32" s="1"/>
  <c r="N123" i="34"/>
  <c r="N124" i="34"/>
  <c r="K119" i="31"/>
  <c r="K119" i="33" s="1"/>
  <c r="K125" i="31"/>
  <c r="K125" i="33" s="1"/>
  <c r="K123" i="31"/>
  <c r="K123" i="32" s="1"/>
  <c r="K120" i="31"/>
  <c r="K120" i="34" s="1"/>
  <c r="M119" i="33"/>
  <c r="M119" i="34" s="1"/>
  <c r="J118" i="30"/>
  <c r="J118" i="34" s="1"/>
  <c r="N122" i="34"/>
  <c r="M123" i="33"/>
  <c r="M123" i="34" s="1"/>
  <c r="I126" i="33"/>
  <c r="J125" i="30"/>
  <c r="J125" i="31" s="1"/>
  <c r="L121" i="32"/>
  <c r="L121" i="33" s="1"/>
  <c r="I126" i="30"/>
  <c r="N120" i="34"/>
  <c r="I126" i="34"/>
  <c r="J122" i="30"/>
  <c r="J122" i="32" s="1"/>
  <c r="J119" i="30"/>
  <c r="J119" i="34" s="1"/>
  <c r="L120" i="32"/>
  <c r="L120" i="34" s="1"/>
  <c r="I126" i="32"/>
  <c r="R120" i="33"/>
  <c r="M120" i="33" s="1"/>
  <c r="M120" i="34" s="1"/>
  <c r="R124" i="33"/>
  <c r="M124" i="33" s="1"/>
  <c r="M124" i="34" s="1"/>
  <c r="R121" i="33"/>
  <c r="M121" i="33" s="1"/>
  <c r="M121" i="34" s="1"/>
  <c r="R122" i="33"/>
  <c r="M122" i="33" s="1"/>
  <c r="M122" i="34" s="1"/>
  <c r="Q118" i="33"/>
  <c r="I118" i="33" s="1"/>
  <c r="M118" i="33" s="1"/>
  <c r="M118" i="34" s="1"/>
  <c r="Q119" i="32"/>
  <c r="I119" i="32" s="1"/>
  <c r="L119" i="32" s="1"/>
  <c r="Q118" i="31"/>
  <c r="I118" i="31" s="1"/>
  <c r="K118" i="31" s="1"/>
  <c r="R121" i="30"/>
  <c r="J121" i="30" s="1"/>
  <c r="J121" i="32" s="1"/>
  <c r="R120" i="30"/>
  <c r="J120" i="30" s="1"/>
  <c r="J120" i="34" s="1"/>
  <c r="R125" i="34"/>
  <c r="N125" i="34" s="1"/>
  <c r="L126" i="19"/>
  <c r="T127" i="19"/>
  <c r="L127" i="19" s="1"/>
  <c r="T119" i="19"/>
  <c r="L119" i="19" s="1"/>
  <c r="J123" i="19"/>
  <c r="I126" i="19"/>
  <c r="A126" i="19" s="1"/>
  <c r="J120" i="19"/>
  <c r="I124" i="19"/>
  <c r="A124" i="19" s="1"/>
  <c r="I119" i="19"/>
  <c r="A119" i="19" s="1"/>
  <c r="I118" i="19"/>
  <c r="A118" i="19" s="1"/>
  <c r="L123" i="34" l="1"/>
  <c r="K122" i="33"/>
  <c r="K122" i="34"/>
  <c r="L118" i="33"/>
  <c r="L126" i="32"/>
  <c r="L126" i="34" s="1"/>
  <c r="J123" i="33"/>
  <c r="J123" i="34"/>
  <c r="J124" i="34"/>
  <c r="O124" i="34" s="1"/>
  <c r="K119" i="34"/>
  <c r="J123" i="31"/>
  <c r="L124" i="33"/>
  <c r="K124" i="34"/>
  <c r="K124" i="33"/>
  <c r="J118" i="31"/>
  <c r="K119" i="32"/>
  <c r="J124" i="33"/>
  <c r="J124" i="31"/>
  <c r="K125" i="32"/>
  <c r="K123" i="33"/>
  <c r="K125" i="34"/>
  <c r="K123" i="34"/>
  <c r="J126" i="30"/>
  <c r="J126" i="33" s="1"/>
  <c r="J121" i="34"/>
  <c r="K121" i="34"/>
  <c r="K121" i="32"/>
  <c r="J119" i="33"/>
  <c r="J118" i="33"/>
  <c r="J119" i="31"/>
  <c r="N126" i="34"/>
  <c r="J118" i="32"/>
  <c r="K120" i="32"/>
  <c r="J125" i="33"/>
  <c r="J125" i="34"/>
  <c r="L121" i="34"/>
  <c r="J121" i="31"/>
  <c r="K120" i="33"/>
  <c r="J125" i="32"/>
  <c r="J121" i="33"/>
  <c r="J122" i="33"/>
  <c r="M126" i="33"/>
  <c r="M126" i="34" s="1"/>
  <c r="O120" i="34"/>
  <c r="J122" i="31"/>
  <c r="J120" i="33"/>
  <c r="J119" i="32"/>
  <c r="L125" i="34"/>
  <c r="L125" i="33"/>
  <c r="L120" i="33"/>
  <c r="J120" i="31"/>
  <c r="J122" i="34"/>
  <c r="J120" i="32"/>
  <c r="K118" i="34"/>
  <c r="O118" i="34" s="1"/>
  <c r="K118" i="32"/>
  <c r="K118" i="33"/>
  <c r="K126" i="31"/>
  <c r="L119" i="34"/>
  <c r="L119" i="33"/>
  <c r="O119" i="34" l="1"/>
  <c r="O123" i="34"/>
  <c r="L126" i="33"/>
  <c r="O121" i="34"/>
  <c r="O125" i="34"/>
  <c r="J126" i="31"/>
  <c r="J126" i="32"/>
  <c r="J126" i="34"/>
  <c r="K126" i="34"/>
  <c r="K126" i="32"/>
  <c r="K126" i="33"/>
  <c r="L7" i="19"/>
  <c r="G18" i="19"/>
  <c r="H18" i="19"/>
  <c r="H19" i="19"/>
  <c r="H20" i="19"/>
  <c r="H21" i="19"/>
  <c r="H22" i="19"/>
  <c r="H23" i="19"/>
  <c r="H24" i="19"/>
  <c r="H25" i="19"/>
  <c r="H26" i="19"/>
  <c r="H27" i="19"/>
  <c r="G28" i="19"/>
  <c r="H28" i="19"/>
  <c r="G29" i="19"/>
  <c r="H29" i="19"/>
  <c r="H30" i="19"/>
  <c r="H31" i="19"/>
  <c r="H32" i="19"/>
  <c r="H33" i="19"/>
  <c r="H34" i="19"/>
  <c r="H35" i="19"/>
  <c r="H36" i="19"/>
  <c r="H37" i="19"/>
  <c r="H38" i="19"/>
  <c r="G39" i="19"/>
  <c r="H39" i="19"/>
  <c r="H40" i="19"/>
  <c r="H41" i="19"/>
  <c r="H42" i="19"/>
  <c r="H43" i="19"/>
  <c r="H44" i="19"/>
  <c r="H45" i="19"/>
  <c r="H46" i="19"/>
  <c r="H47" i="19"/>
  <c r="H48" i="19"/>
  <c r="H49" i="19"/>
  <c r="H50" i="19"/>
  <c r="H51" i="19"/>
  <c r="H52" i="19"/>
  <c r="H53" i="19"/>
  <c r="H54" i="19"/>
  <c r="H55" i="19"/>
  <c r="H56" i="19"/>
  <c r="H57" i="19"/>
  <c r="H58" i="19"/>
  <c r="H59" i="19"/>
  <c r="H60" i="19"/>
  <c r="H61" i="19"/>
  <c r="H62" i="19"/>
  <c r="H63" i="19"/>
  <c r="H64" i="19"/>
  <c r="H65" i="19"/>
  <c r="H66" i="19"/>
  <c r="H67" i="19"/>
  <c r="H68" i="19"/>
  <c r="H69" i="19"/>
  <c r="H70" i="19"/>
  <c r="H71" i="19"/>
  <c r="H72" i="19"/>
  <c r="H73" i="19"/>
  <c r="H74" i="19"/>
  <c r="H75" i="19"/>
  <c r="H76" i="19"/>
  <c r="H77" i="19"/>
  <c r="H78" i="19"/>
  <c r="H79" i="19"/>
  <c r="H80" i="19"/>
  <c r="H81" i="19"/>
  <c r="H82" i="19"/>
  <c r="H83" i="19"/>
  <c r="H84" i="19"/>
  <c r="H85" i="19"/>
  <c r="H86" i="19"/>
  <c r="H87" i="19"/>
  <c r="H88" i="19"/>
  <c r="H89" i="19"/>
  <c r="H90" i="19"/>
  <c r="H91" i="19"/>
  <c r="H92" i="19"/>
  <c r="H93" i="19"/>
  <c r="H94" i="19"/>
  <c r="H95" i="19"/>
  <c r="H96" i="19"/>
  <c r="H97" i="19"/>
  <c r="H98" i="19"/>
  <c r="H99" i="19"/>
  <c r="H100" i="19"/>
  <c r="H101" i="19"/>
  <c r="H102" i="19"/>
  <c r="H103" i="19"/>
  <c r="H104" i="19"/>
  <c r="H105" i="19"/>
  <c r="H106" i="19"/>
  <c r="H107" i="19"/>
  <c r="H108" i="19"/>
  <c r="H109" i="19"/>
  <c r="H110" i="19"/>
  <c r="H111" i="19"/>
  <c r="H112" i="19"/>
  <c r="H113" i="19"/>
  <c r="H114" i="19"/>
  <c r="H115" i="19"/>
  <c r="H116" i="19"/>
  <c r="H117" i="19"/>
  <c r="A150" i="29"/>
  <c r="A154" i="29" s="1"/>
  <c r="A98" i="29"/>
  <c r="A102" i="29" s="1"/>
  <c r="A14" i="19"/>
  <c r="A45" i="29"/>
  <c r="A49" i="29" s="1"/>
  <c r="J92" i="19" l="1"/>
  <c r="I92" i="19"/>
  <c r="A92" i="19" s="1"/>
  <c r="J52" i="19"/>
  <c r="I52" i="19"/>
  <c r="A52" i="19" s="1"/>
  <c r="I99" i="19"/>
  <c r="A99" i="19" s="1"/>
  <c r="J99" i="19"/>
  <c r="I91" i="19"/>
  <c r="A91" i="19" s="1"/>
  <c r="J91" i="19"/>
  <c r="I83" i="19"/>
  <c r="A83" i="19" s="1"/>
  <c r="J83" i="19"/>
  <c r="I75" i="19"/>
  <c r="A75" i="19" s="1"/>
  <c r="J75" i="19"/>
  <c r="I67" i="19"/>
  <c r="A67" i="19" s="1"/>
  <c r="J67" i="19"/>
  <c r="I59" i="19"/>
  <c r="A59" i="19" s="1"/>
  <c r="J59" i="19"/>
  <c r="I51" i="19"/>
  <c r="J51" i="19"/>
  <c r="I43" i="19"/>
  <c r="A43" i="19" s="1"/>
  <c r="J43" i="19"/>
  <c r="J36" i="19"/>
  <c r="I36" i="19"/>
  <c r="A36" i="19" s="1"/>
  <c r="J22" i="19"/>
  <c r="I22" i="19"/>
  <c r="A22" i="19" s="1"/>
  <c r="J68" i="19"/>
  <c r="I68" i="19"/>
  <c r="A68" i="19" s="1"/>
  <c r="I115" i="19"/>
  <c r="J115" i="19"/>
  <c r="I106" i="19"/>
  <c r="J106" i="19"/>
  <c r="J90" i="19"/>
  <c r="I90" i="19"/>
  <c r="A90" i="19" s="1"/>
  <c r="I82" i="19"/>
  <c r="J82" i="19"/>
  <c r="I74" i="19"/>
  <c r="A74" i="19" s="1"/>
  <c r="J74" i="19"/>
  <c r="J66" i="19"/>
  <c r="I66" i="19"/>
  <c r="A66" i="19" s="1"/>
  <c r="J58" i="19"/>
  <c r="I58" i="19"/>
  <c r="A58" i="19" s="1"/>
  <c r="J50" i="19"/>
  <c r="I50" i="19"/>
  <c r="A50" i="19" s="1"/>
  <c r="I42" i="19"/>
  <c r="A42" i="19" s="1"/>
  <c r="J42" i="19"/>
  <c r="I35" i="19"/>
  <c r="A35" i="19" s="1"/>
  <c r="J35" i="19"/>
  <c r="J28" i="19"/>
  <c r="I28" i="19"/>
  <c r="A28" i="19" s="1"/>
  <c r="J21" i="19"/>
  <c r="I21" i="19"/>
  <c r="A21" i="19" s="1"/>
  <c r="J100" i="19"/>
  <c r="I100" i="19"/>
  <c r="A100" i="19" s="1"/>
  <c r="I37" i="19"/>
  <c r="A37" i="19" s="1"/>
  <c r="J37" i="19"/>
  <c r="J114" i="19"/>
  <c r="I114" i="19"/>
  <c r="A114" i="19" s="1"/>
  <c r="J98" i="19"/>
  <c r="I98" i="19"/>
  <c r="A98" i="19" s="1"/>
  <c r="J113" i="19"/>
  <c r="I113" i="19"/>
  <c r="A113" i="19" s="1"/>
  <c r="I105" i="19"/>
  <c r="A105" i="19" s="1"/>
  <c r="J105" i="19"/>
  <c r="I97" i="19"/>
  <c r="A97" i="19" s="1"/>
  <c r="J97" i="19"/>
  <c r="J89" i="19"/>
  <c r="I89" i="19"/>
  <c r="A89" i="19" s="1"/>
  <c r="I81" i="19"/>
  <c r="A81" i="19" s="1"/>
  <c r="J81" i="19"/>
  <c r="J73" i="19"/>
  <c r="A73" i="19" s="1"/>
  <c r="I73" i="19"/>
  <c r="I65" i="19"/>
  <c r="A65" i="19" s="1"/>
  <c r="J65" i="19"/>
  <c r="J57" i="19"/>
  <c r="I57" i="19"/>
  <c r="A57" i="19" s="1"/>
  <c r="I49" i="19"/>
  <c r="J49" i="19"/>
  <c r="J41" i="19"/>
  <c r="I41" i="19"/>
  <c r="A41" i="19" s="1"/>
  <c r="I34" i="19"/>
  <c r="A34" i="19" s="1"/>
  <c r="J34" i="19"/>
  <c r="J20" i="19"/>
  <c r="I20" i="19"/>
  <c r="A20" i="19" s="1"/>
  <c r="J84" i="19"/>
  <c r="A84" i="19" s="1"/>
  <c r="I84" i="19"/>
  <c r="J60" i="19"/>
  <c r="A60" i="19" s="1"/>
  <c r="I60" i="19"/>
  <c r="I112" i="19"/>
  <c r="A112" i="19" s="1"/>
  <c r="J112" i="19"/>
  <c r="I80" i="19"/>
  <c r="A80" i="19" s="1"/>
  <c r="J80" i="19"/>
  <c r="I72" i="19"/>
  <c r="A72" i="19" s="1"/>
  <c r="J72" i="19"/>
  <c r="I64" i="19"/>
  <c r="A64" i="19" s="1"/>
  <c r="J64" i="19"/>
  <c r="I56" i="19"/>
  <c r="A56" i="19" s="1"/>
  <c r="J56" i="19"/>
  <c r="I48" i="19"/>
  <c r="A48" i="19" s="1"/>
  <c r="J48" i="19"/>
  <c r="I40" i="19"/>
  <c r="J40" i="19"/>
  <c r="I33" i="19"/>
  <c r="A33" i="19" s="1"/>
  <c r="J33" i="19"/>
  <c r="I27" i="19"/>
  <c r="J27" i="19"/>
  <c r="A27" i="19" s="1"/>
  <c r="I19" i="19"/>
  <c r="A19" i="19" s="1"/>
  <c r="J19" i="19"/>
  <c r="J108" i="19"/>
  <c r="I108" i="19"/>
  <c r="A108" i="19" s="1"/>
  <c r="J29" i="19"/>
  <c r="A29" i="19" s="1"/>
  <c r="I29" i="19"/>
  <c r="I88" i="19"/>
  <c r="A88" i="19" s="1"/>
  <c r="J88" i="19"/>
  <c r="I111" i="19"/>
  <c r="A111" i="19" s="1"/>
  <c r="J111" i="19"/>
  <c r="I103" i="19"/>
  <c r="A103" i="19" s="1"/>
  <c r="J103" i="19"/>
  <c r="I95" i="19"/>
  <c r="J95" i="19"/>
  <c r="I87" i="19"/>
  <c r="A87" i="19" s="1"/>
  <c r="J87" i="19"/>
  <c r="I79" i="19"/>
  <c r="A79" i="19" s="1"/>
  <c r="J79" i="19"/>
  <c r="I71" i="19"/>
  <c r="J71" i="19"/>
  <c r="I63" i="19"/>
  <c r="A63" i="19" s="1"/>
  <c r="J63" i="19"/>
  <c r="I55" i="19"/>
  <c r="A55" i="19" s="1"/>
  <c r="J55" i="19"/>
  <c r="I47" i="19"/>
  <c r="A47" i="19" s="1"/>
  <c r="J47" i="19"/>
  <c r="I39" i="19"/>
  <c r="A39" i="19" s="1"/>
  <c r="J39" i="19"/>
  <c r="I32" i="19"/>
  <c r="A32" i="19" s="1"/>
  <c r="J32" i="19"/>
  <c r="J26" i="19"/>
  <c r="I26" i="19"/>
  <c r="A26" i="19" s="1"/>
  <c r="J18" i="19"/>
  <c r="I18" i="19"/>
  <c r="J76" i="19"/>
  <c r="I76" i="19"/>
  <c r="A76" i="19" s="1"/>
  <c r="J44" i="19"/>
  <c r="I44" i="19"/>
  <c r="A44" i="19" s="1"/>
  <c r="I107" i="19"/>
  <c r="A107" i="19" s="1"/>
  <c r="J107" i="19"/>
  <c r="I96" i="19"/>
  <c r="A96" i="19" s="1"/>
  <c r="J96" i="19"/>
  <c r="J110" i="19"/>
  <c r="I110" i="19"/>
  <c r="A110" i="19" s="1"/>
  <c r="J102" i="19"/>
  <c r="I102" i="19"/>
  <c r="A102" i="19" s="1"/>
  <c r="J94" i="19"/>
  <c r="I94" i="19"/>
  <c r="A94" i="19" s="1"/>
  <c r="J86" i="19"/>
  <c r="I86" i="19"/>
  <c r="A86" i="19" s="1"/>
  <c r="J78" i="19"/>
  <c r="I78" i="19"/>
  <c r="A78" i="19" s="1"/>
  <c r="J70" i="19"/>
  <c r="I70" i="19"/>
  <c r="A70" i="19" s="1"/>
  <c r="J62" i="19"/>
  <c r="I62" i="19"/>
  <c r="J54" i="19"/>
  <c r="I54" i="19"/>
  <c r="A54" i="19" s="1"/>
  <c r="J46" i="19"/>
  <c r="I46" i="19"/>
  <c r="A46" i="19" s="1"/>
  <c r="I31" i="19"/>
  <c r="A31" i="19" s="1"/>
  <c r="J31" i="19"/>
  <c r="I25" i="19"/>
  <c r="A25" i="19" s="1"/>
  <c r="J25" i="19"/>
  <c r="J116" i="19"/>
  <c r="I116" i="19"/>
  <c r="A116" i="19" s="1"/>
  <c r="I23" i="19"/>
  <c r="A23" i="19" s="1"/>
  <c r="J23" i="19"/>
  <c r="I104" i="19"/>
  <c r="J104" i="19"/>
  <c r="I117" i="19"/>
  <c r="J117" i="19"/>
  <c r="A117" i="19" s="1"/>
  <c r="J109" i="19"/>
  <c r="I109" i="19"/>
  <c r="A109" i="19" s="1"/>
  <c r="J101" i="19"/>
  <c r="I101" i="19"/>
  <c r="A101" i="19" s="1"/>
  <c r="J93" i="19"/>
  <c r="A93" i="19" s="1"/>
  <c r="I93" i="19"/>
  <c r="J85" i="19"/>
  <c r="I85" i="19"/>
  <c r="A85" i="19" s="1"/>
  <c r="I77" i="19"/>
  <c r="A77" i="19" s="1"/>
  <c r="J77" i="19"/>
  <c r="J69" i="19"/>
  <c r="I69" i="19"/>
  <c r="A69" i="19" s="1"/>
  <c r="J61" i="19"/>
  <c r="I61" i="19"/>
  <c r="A61" i="19" s="1"/>
  <c r="J53" i="19"/>
  <c r="I53" i="19"/>
  <c r="A53" i="19" s="1"/>
  <c r="J45" i="19"/>
  <c r="I45" i="19"/>
  <c r="A45" i="19" s="1"/>
  <c r="J38" i="19"/>
  <c r="I38" i="19"/>
  <c r="J30" i="19"/>
  <c r="I30" i="19"/>
  <c r="A30" i="19" s="1"/>
  <c r="I24" i="19"/>
  <c r="A24" i="19" s="1"/>
  <c r="J24" i="19"/>
  <c r="A106" i="19" l="1"/>
  <c r="A18" i="19"/>
  <c r="A51" i="19"/>
  <c r="A62" i="19"/>
  <c r="A104" i="19"/>
  <c r="A95" i="19"/>
  <c r="A71" i="19"/>
  <c r="A40" i="19"/>
  <c r="A49" i="19"/>
  <c r="A115" i="19"/>
  <c r="A38" i="19"/>
  <c r="A82" i="19"/>
  <c r="C12" i="5" l="1"/>
  <c r="A21" i="1" l="1"/>
  <c r="C1" i="35" l="1"/>
  <c r="B1" i="35"/>
  <c r="H2" i="1" l="1"/>
  <c r="I21" i="1" l="1"/>
  <c r="J21" i="1" s="1"/>
  <c r="AB6" i="19" l="1"/>
  <c r="A13" i="19"/>
  <c r="F24" i="5" l="1"/>
  <c r="A10" i="1" l="1"/>
  <c r="E10" i="1" s="1"/>
  <c r="C10" i="1"/>
  <c r="A24" i="5"/>
  <c r="A29" i="8" s="1"/>
  <c r="A23" i="5"/>
  <c r="A28" i="8" s="1"/>
  <c r="F23" i="5"/>
  <c r="A22" i="5"/>
  <c r="A27" i="8" s="1"/>
  <c r="F22" i="5"/>
  <c r="A21" i="5"/>
  <c r="A26" i="8" s="1"/>
  <c r="F21" i="5"/>
  <c r="A20" i="5"/>
  <c r="A25" i="8" s="1"/>
  <c r="F20" i="5"/>
  <c r="A19" i="5"/>
  <c r="A24" i="8" s="1"/>
  <c r="F19" i="5"/>
  <c r="A18" i="5"/>
  <c r="A23" i="8" s="1"/>
  <c r="F18" i="5"/>
  <c r="A17" i="5"/>
  <c r="A22" i="8" s="1"/>
  <c r="F17" i="5"/>
  <c r="O2" i="19"/>
  <c r="E8" i="5"/>
  <c r="E9" i="5"/>
  <c r="E10" i="5"/>
  <c r="E11" i="5"/>
  <c r="E12" i="5"/>
  <c r="M18" i="34"/>
  <c r="L18" i="34"/>
  <c r="K18" i="34"/>
  <c r="J18" i="34"/>
  <c r="O18" i="31"/>
  <c r="O39" i="31"/>
  <c r="P117" i="34"/>
  <c r="P116" i="34"/>
  <c r="P115" i="34"/>
  <c r="P114" i="34"/>
  <c r="P113" i="34"/>
  <c r="P112" i="34"/>
  <c r="P111" i="34"/>
  <c r="P110" i="34"/>
  <c r="P109" i="34"/>
  <c r="P108" i="34"/>
  <c r="P107" i="34"/>
  <c r="P106" i="34"/>
  <c r="P105" i="34"/>
  <c r="P104" i="34"/>
  <c r="P103" i="34"/>
  <c r="P102" i="34"/>
  <c r="P101" i="34"/>
  <c r="P100" i="34"/>
  <c r="P99" i="34"/>
  <c r="P98" i="34"/>
  <c r="P97" i="34"/>
  <c r="P96" i="34"/>
  <c r="P95" i="34"/>
  <c r="P94" i="34"/>
  <c r="P93" i="34"/>
  <c r="P92" i="34"/>
  <c r="P91" i="34"/>
  <c r="P90" i="34"/>
  <c r="P89" i="34"/>
  <c r="P88" i="34"/>
  <c r="P87" i="34"/>
  <c r="P86" i="34"/>
  <c r="P85" i="34"/>
  <c r="P84" i="34"/>
  <c r="P83" i="34"/>
  <c r="P82" i="34"/>
  <c r="P81" i="34"/>
  <c r="P80" i="34"/>
  <c r="P79" i="34"/>
  <c r="P78" i="34"/>
  <c r="P77" i="34"/>
  <c r="P76" i="34"/>
  <c r="P75" i="34"/>
  <c r="P74" i="34"/>
  <c r="P73" i="34"/>
  <c r="P72" i="34"/>
  <c r="P71" i="34"/>
  <c r="P70" i="34"/>
  <c r="P69" i="34"/>
  <c r="P68" i="34"/>
  <c r="P67" i="34"/>
  <c r="P66" i="34"/>
  <c r="P65" i="34"/>
  <c r="P64" i="34"/>
  <c r="P63" i="34"/>
  <c r="P62" i="34"/>
  <c r="P61" i="34"/>
  <c r="P60" i="34"/>
  <c r="P59" i="34"/>
  <c r="P58" i="34"/>
  <c r="P57" i="34"/>
  <c r="P56" i="34"/>
  <c r="P55" i="34"/>
  <c r="P54" i="34"/>
  <c r="P53" i="34"/>
  <c r="P52" i="34"/>
  <c r="P51" i="34"/>
  <c r="P50" i="34"/>
  <c r="P49" i="34"/>
  <c r="P48" i="34"/>
  <c r="P47" i="34"/>
  <c r="P46" i="34"/>
  <c r="P45" i="34"/>
  <c r="P44" i="34"/>
  <c r="P43" i="34"/>
  <c r="P42" i="34"/>
  <c r="P41" i="34"/>
  <c r="P40" i="34"/>
  <c r="P39" i="34"/>
  <c r="P38" i="34"/>
  <c r="P37" i="34"/>
  <c r="P36" i="34"/>
  <c r="P35" i="34"/>
  <c r="P34" i="34"/>
  <c r="P33" i="34"/>
  <c r="P32" i="34"/>
  <c r="P31" i="34"/>
  <c r="P30" i="34"/>
  <c r="P29" i="34"/>
  <c r="P28" i="34"/>
  <c r="P27" i="34"/>
  <c r="P26" i="34"/>
  <c r="P25" i="34"/>
  <c r="P24" i="34"/>
  <c r="P23" i="34"/>
  <c r="P22" i="34"/>
  <c r="P21" i="34"/>
  <c r="P20" i="34"/>
  <c r="P19" i="34"/>
  <c r="P18" i="34"/>
  <c r="I13" i="34"/>
  <c r="I12" i="34"/>
  <c r="I11" i="34"/>
  <c r="I10" i="34"/>
  <c r="I9" i="34"/>
  <c r="I8" i="34"/>
  <c r="I7" i="34"/>
  <c r="N2" i="34"/>
  <c r="L2" i="34"/>
  <c r="I2" i="34"/>
  <c r="D2" i="34"/>
  <c r="C2" i="34"/>
  <c r="A2" i="34"/>
  <c r="M2" i="4"/>
  <c r="A25" i="28"/>
  <c r="C25" i="28" s="1"/>
  <c r="A24" i="28"/>
  <c r="C24" i="28" s="1"/>
  <c r="A23" i="28"/>
  <c r="C23" i="28" s="1"/>
  <c r="A22" i="28"/>
  <c r="C22" i="28" s="1"/>
  <c r="A21" i="28"/>
  <c r="C21" i="28" s="1"/>
  <c r="A20" i="28"/>
  <c r="C20" i="28" s="1"/>
  <c r="A19" i="28"/>
  <c r="C19" i="28" s="1"/>
  <c r="A18" i="28"/>
  <c r="C18" i="28" s="1"/>
  <c r="A17" i="28"/>
  <c r="C17" i="28" s="1"/>
  <c r="A16" i="28"/>
  <c r="C16" i="28" s="1"/>
  <c r="B11" i="28"/>
  <c r="B10" i="28"/>
  <c r="B9" i="28"/>
  <c r="B8" i="28"/>
  <c r="B7" i="28"/>
  <c r="B6" i="28"/>
  <c r="B5" i="28"/>
  <c r="B4" i="28"/>
  <c r="B3" i="28"/>
  <c r="B2" i="28"/>
  <c r="B49" i="8"/>
  <c r="N49" i="8" s="1"/>
  <c r="B48" i="8"/>
  <c r="N48" i="8" s="1"/>
  <c r="B47" i="8"/>
  <c r="J47" i="8" s="1"/>
  <c r="B46" i="8"/>
  <c r="N46" i="8" s="1"/>
  <c r="B45" i="8"/>
  <c r="B44" i="8"/>
  <c r="J44" i="8" s="1"/>
  <c r="B43" i="8"/>
  <c r="N43" i="8" s="1"/>
  <c r="B42" i="8"/>
  <c r="F42" i="8" s="1"/>
  <c r="B41" i="8"/>
  <c r="K41" i="8" s="1"/>
  <c r="K50" i="8" s="1"/>
  <c r="B29" i="8"/>
  <c r="H29" i="8" s="1"/>
  <c r="B28" i="8"/>
  <c r="D28" i="8" s="1"/>
  <c r="B27" i="8"/>
  <c r="D27" i="8" s="1"/>
  <c r="B26" i="8"/>
  <c r="B25" i="8"/>
  <c r="D25" i="8" s="1"/>
  <c r="B24" i="8"/>
  <c r="L24" i="8" s="1"/>
  <c r="B23" i="8"/>
  <c r="B22" i="8"/>
  <c r="B21" i="8"/>
  <c r="L21" i="8" s="1"/>
  <c r="B20" i="8"/>
  <c r="N20" i="8" s="1"/>
  <c r="M5" i="8"/>
  <c r="E2" i="8"/>
  <c r="C2" i="8"/>
  <c r="L21" i="1"/>
  <c r="K21" i="1"/>
  <c r="B18" i="1"/>
  <c r="B17" i="1"/>
  <c r="B16" i="1"/>
  <c r="B15" i="1"/>
  <c r="B14" i="1"/>
  <c r="B13" i="1"/>
  <c r="E2" i="1"/>
  <c r="C2" i="1"/>
  <c r="P117" i="33"/>
  <c r="P116" i="33"/>
  <c r="P115" i="33"/>
  <c r="P114" i="33"/>
  <c r="P113" i="33"/>
  <c r="P112" i="33"/>
  <c r="P111" i="33"/>
  <c r="P110" i="33"/>
  <c r="P109" i="33"/>
  <c r="P108" i="33"/>
  <c r="P107" i="33"/>
  <c r="P106" i="33"/>
  <c r="P105" i="33"/>
  <c r="P104" i="33"/>
  <c r="P103" i="33"/>
  <c r="P102" i="33"/>
  <c r="P101" i="33"/>
  <c r="P100" i="33"/>
  <c r="P99" i="33"/>
  <c r="P98" i="33"/>
  <c r="P97" i="33"/>
  <c r="P96" i="33"/>
  <c r="P95" i="33"/>
  <c r="P94" i="33"/>
  <c r="P93" i="33"/>
  <c r="P92" i="33"/>
  <c r="P91" i="33"/>
  <c r="P90" i="33"/>
  <c r="P89" i="33"/>
  <c r="P88" i="33"/>
  <c r="P87" i="33"/>
  <c r="P86" i="33"/>
  <c r="P85" i="33"/>
  <c r="P84" i="33"/>
  <c r="P83" i="33"/>
  <c r="P82" i="33"/>
  <c r="P81" i="33"/>
  <c r="P80" i="33"/>
  <c r="P79" i="33"/>
  <c r="P78" i="33"/>
  <c r="P77" i="33"/>
  <c r="P76" i="33"/>
  <c r="P75" i="33"/>
  <c r="P74" i="33"/>
  <c r="P73" i="33"/>
  <c r="P72" i="33"/>
  <c r="P71" i="33"/>
  <c r="P70" i="33"/>
  <c r="P69" i="33"/>
  <c r="P68" i="33"/>
  <c r="P67" i="33"/>
  <c r="P66" i="33"/>
  <c r="P65" i="33"/>
  <c r="P64" i="33"/>
  <c r="P63" i="33"/>
  <c r="P62" i="33"/>
  <c r="P61" i="33"/>
  <c r="P60" i="33"/>
  <c r="P59" i="33"/>
  <c r="P58" i="33"/>
  <c r="P57" i="33"/>
  <c r="P56" i="33"/>
  <c r="P55" i="33"/>
  <c r="P54" i="33"/>
  <c r="P53" i="33"/>
  <c r="P52" i="33"/>
  <c r="P51" i="33"/>
  <c r="P50" i="33"/>
  <c r="P49" i="33"/>
  <c r="P48" i="33"/>
  <c r="P47" i="33"/>
  <c r="P46" i="33"/>
  <c r="P45" i="33"/>
  <c r="P44" i="33"/>
  <c r="P43" i="33"/>
  <c r="P42" i="33"/>
  <c r="P41" i="33"/>
  <c r="P40" i="33"/>
  <c r="P39" i="33"/>
  <c r="P38" i="33"/>
  <c r="P37" i="33"/>
  <c r="P36" i="33"/>
  <c r="P35" i="33"/>
  <c r="P34" i="33"/>
  <c r="P33" i="33"/>
  <c r="P32" i="33"/>
  <c r="P31" i="33"/>
  <c r="P30" i="33"/>
  <c r="P29" i="33"/>
  <c r="P28" i="33"/>
  <c r="P27" i="33"/>
  <c r="P26" i="33"/>
  <c r="P25" i="33"/>
  <c r="P24" i="33"/>
  <c r="P23" i="33"/>
  <c r="P22" i="33"/>
  <c r="P21" i="33"/>
  <c r="P20" i="33"/>
  <c r="P19" i="33"/>
  <c r="P18" i="33"/>
  <c r="I13" i="33"/>
  <c r="I12" i="33"/>
  <c r="I11" i="33"/>
  <c r="I10" i="33"/>
  <c r="I9" i="33"/>
  <c r="I8" i="33"/>
  <c r="I7" i="33"/>
  <c r="N2" i="33"/>
  <c r="L2" i="33"/>
  <c r="I2" i="33"/>
  <c r="D2" i="33"/>
  <c r="C2" i="33"/>
  <c r="A2" i="33"/>
  <c r="P117" i="32"/>
  <c r="P116" i="32"/>
  <c r="P115" i="32"/>
  <c r="P114" i="32"/>
  <c r="P113" i="32"/>
  <c r="P112" i="32"/>
  <c r="P111" i="32"/>
  <c r="P110" i="32"/>
  <c r="P109" i="32"/>
  <c r="P108" i="32"/>
  <c r="P107" i="32"/>
  <c r="P106" i="32"/>
  <c r="P105" i="32"/>
  <c r="P104" i="32"/>
  <c r="P103" i="32"/>
  <c r="P102" i="32"/>
  <c r="P101" i="32"/>
  <c r="P100" i="32"/>
  <c r="P99" i="32"/>
  <c r="P98" i="32"/>
  <c r="P97" i="32"/>
  <c r="P96" i="32"/>
  <c r="P95" i="32"/>
  <c r="P94" i="32"/>
  <c r="P93" i="32"/>
  <c r="P92" i="32"/>
  <c r="P91" i="32"/>
  <c r="P90" i="32"/>
  <c r="P89" i="32"/>
  <c r="P88" i="32"/>
  <c r="P87" i="32"/>
  <c r="P86" i="32"/>
  <c r="P85" i="32"/>
  <c r="P84" i="32"/>
  <c r="P83" i="32"/>
  <c r="P82" i="32"/>
  <c r="P81" i="32"/>
  <c r="P80" i="32"/>
  <c r="P79" i="32"/>
  <c r="P78" i="32"/>
  <c r="P77" i="32"/>
  <c r="P76" i="32"/>
  <c r="P75" i="32"/>
  <c r="P74" i="32"/>
  <c r="P73" i="32"/>
  <c r="P72" i="32"/>
  <c r="P71" i="32"/>
  <c r="P70" i="32"/>
  <c r="P69" i="32"/>
  <c r="P68" i="32"/>
  <c r="P67" i="32"/>
  <c r="P66" i="32"/>
  <c r="P65" i="32"/>
  <c r="P64" i="32"/>
  <c r="P63" i="32"/>
  <c r="P62" i="32"/>
  <c r="P61" i="32"/>
  <c r="P60" i="32"/>
  <c r="P59" i="32"/>
  <c r="P58" i="32"/>
  <c r="P57" i="32"/>
  <c r="P56" i="32"/>
  <c r="P55" i="32"/>
  <c r="P54" i="32"/>
  <c r="P53" i="32"/>
  <c r="P52" i="32"/>
  <c r="P51" i="32"/>
  <c r="P50" i="32"/>
  <c r="P49" i="32"/>
  <c r="P48" i="32"/>
  <c r="P47" i="32"/>
  <c r="P46" i="32"/>
  <c r="P45" i="32"/>
  <c r="P44" i="32"/>
  <c r="P43" i="32"/>
  <c r="P42" i="32"/>
  <c r="P41" i="32"/>
  <c r="P40" i="32"/>
  <c r="P39" i="32"/>
  <c r="P38" i="32"/>
  <c r="P37" i="32"/>
  <c r="P36" i="32"/>
  <c r="P35" i="32"/>
  <c r="P34" i="32"/>
  <c r="P33" i="32"/>
  <c r="P32" i="32"/>
  <c r="P31" i="32"/>
  <c r="P30" i="32"/>
  <c r="P29" i="32"/>
  <c r="P28" i="32"/>
  <c r="O28" i="32"/>
  <c r="P27" i="32"/>
  <c r="P26" i="32"/>
  <c r="P25" i="32"/>
  <c r="P24" i="32"/>
  <c r="P23" i="32"/>
  <c r="P22" i="32"/>
  <c r="P21" i="32"/>
  <c r="P20" i="32"/>
  <c r="P19" i="32"/>
  <c r="P18" i="32"/>
  <c r="I13" i="32"/>
  <c r="I12" i="32"/>
  <c r="I11" i="32"/>
  <c r="I10" i="32"/>
  <c r="I9" i="32"/>
  <c r="I8" i="32"/>
  <c r="I7" i="32"/>
  <c r="N2" i="32"/>
  <c r="L2" i="32"/>
  <c r="I2" i="32"/>
  <c r="D2" i="32"/>
  <c r="C2" i="32"/>
  <c r="A2" i="32"/>
  <c r="P117" i="31"/>
  <c r="P116" i="31"/>
  <c r="P115" i="31"/>
  <c r="P114" i="31"/>
  <c r="P113" i="31"/>
  <c r="P112" i="31"/>
  <c r="P111" i="31"/>
  <c r="P110" i="31"/>
  <c r="P109" i="31"/>
  <c r="P108" i="31"/>
  <c r="P107" i="31"/>
  <c r="P106" i="31"/>
  <c r="P105" i="31"/>
  <c r="P104" i="31"/>
  <c r="P103" i="31"/>
  <c r="P102" i="31"/>
  <c r="P101" i="31"/>
  <c r="P100" i="31"/>
  <c r="P99" i="31"/>
  <c r="P98" i="31"/>
  <c r="P97" i="31"/>
  <c r="P96" i="31"/>
  <c r="P95" i="31"/>
  <c r="P94" i="31"/>
  <c r="P93" i="31"/>
  <c r="P92" i="31"/>
  <c r="P91" i="31"/>
  <c r="P90" i="31"/>
  <c r="P89" i="31"/>
  <c r="P88" i="31"/>
  <c r="P87" i="31"/>
  <c r="P86" i="31"/>
  <c r="P85" i="31"/>
  <c r="P84" i="31"/>
  <c r="P83" i="31"/>
  <c r="P82" i="31"/>
  <c r="P81" i="31"/>
  <c r="P80" i="31"/>
  <c r="P79" i="31"/>
  <c r="P78" i="31"/>
  <c r="P77" i="31"/>
  <c r="P76" i="31"/>
  <c r="P75" i="31"/>
  <c r="P74" i="31"/>
  <c r="P73" i="31"/>
  <c r="P72" i="31"/>
  <c r="P71" i="31"/>
  <c r="P70" i="31"/>
  <c r="P69" i="31"/>
  <c r="P68" i="31"/>
  <c r="P67" i="31"/>
  <c r="P66" i="31"/>
  <c r="P65" i="31"/>
  <c r="P64" i="31"/>
  <c r="P63" i="31"/>
  <c r="P62" i="31"/>
  <c r="P61" i="31"/>
  <c r="P60" i="31"/>
  <c r="P59" i="31"/>
  <c r="P58" i="31"/>
  <c r="P57" i="31"/>
  <c r="P56" i="31"/>
  <c r="P55" i="31"/>
  <c r="P54" i="31"/>
  <c r="P53" i="31"/>
  <c r="P52" i="31"/>
  <c r="P51" i="31"/>
  <c r="P50" i="31"/>
  <c r="P49" i="31"/>
  <c r="P48" i="31"/>
  <c r="P47" i="31"/>
  <c r="P46" i="31"/>
  <c r="P45" i="31"/>
  <c r="P44" i="31"/>
  <c r="P43" i="31"/>
  <c r="P42" i="31"/>
  <c r="P41" i="31"/>
  <c r="P40" i="31"/>
  <c r="P39" i="31"/>
  <c r="P38" i="31"/>
  <c r="P37" i="31"/>
  <c r="P36" i="31"/>
  <c r="P35" i="31"/>
  <c r="P34" i="31"/>
  <c r="P33" i="31"/>
  <c r="P32" i="31"/>
  <c r="P31" i="31"/>
  <c r="P30" i="31"/>
  <c r="P29" i="31"/>
  <c r="P28" i="31"/>
  <c r="P27" i="31"/>
  <c r="P26" i="31"/>
  <c r="P25" i="31"/>
  <c r="P24" i="31"/>
  <c r="P23" i="31"/>
  <c r="P22" i="31"/>
  <c r="P21" i="31"/>
  <c r="P20" i="31"/>
  <c r="P19" i="31"/>
  <c r="P18" i="31"/>
  <c r="I13" i="31"/>
  <c r="I12" i="31"/>
  <c r="I11" i="31"/>
  <c r="I10" i="31"/>
  <c r="I9" i="31"/>
  <c r="I8" i="31"/>
  <c r="I7" i="31"/>
  <c r="N2" i="31"/>
  <c r="L2" i="31"/>
  <c r="I2" i="31"/>
  <c r="D2" i="31"/>
  <c r="C2" i="31"/>
  <c r="A2" i="31"/>
  <c r="P117" i="30"/>
  <c r="P116" i="30"/>
  <c r="P115" i="30"/>
  <c r="P114" i="30"/>
  <c r="P113" i="30"/>
  <c r="P112" i="30"/>
  <c r="P111" i="30"/>
  <c r="P110" i="30"/>
  <c r="P109" i="30"/>
  <c r="P108" i="30"/>
  <c r="P107" i="30"/>
  <c r="P106" i="30"/>
  <c r="P105" i="30"/>
  <c r="P104" i="30"/>
  <c r="P103" i="30"/>
  <c r="P102" i="30"/>
  <c r="P101" i="30"/>
  <c r="P100" i="30"/>
  <c r="P99" i="30"/>
  <c r="P98" i="30"/>
  <c r="P97" i="30"/>
  <c r="P96" i="30"/>
  <c r="P95" i="30"/>
  <c r="P94" i="30"/>
  <c r="P93" i="30"/>
  <c r="P92" i="30"/>
  <c r="P91" i="30"/>
  <c r="P90" i="30"/>
  <c r="P89" i="30"/>
  <c r="P88" i="30"/>
  <c r="P87" i="30"/>
  <c r="P86" i="30"/>
  <c r="P85" i="30"/>
  <c r="P84" i="30"/>
  <c r="P83" i="30"/>
  <c r="P82" i="30"/>
  <c r="P81" i="30"/>
  <c r="P80" i="30"/>
  <c r="P79" i="30"/>
  <c r="P78" i="30"/>
  <c r="P77" i="30"/>
  <c r="P76" i="30"/>
  <c r="P75" i="30"/>
  <c r="P74" i="30"/>
  <c r="P73" i="30"/>
  <c r="P72" i="30"/>
  <c r="P71" i="30"/>
  <c r="P70" i="30"/>
  <c r="P69" i="30"/>
  <c r="P68" i="30"/>
  <c r="P67" i="30"/>
  <c r="P66" i="30"/>
  <c r="P65" i="30"/>
  <c r="P64" i="30"/>
  <c r="P63" i="30"/>
  <c r="P62" i="30"/>
  <c r="P61" i="30"/>
  <c r="P60" i="30"/>
  <c r="P59" i="30"/>
  <c r="P58" i="30"/>
  <c r="P57" i="30"/>
  <c r="P56" i="30"/>
  <c r="P55" i="30"/>
  <c r="P54" i="30"/>
  <c r="P53" i="30"/>
  <c r="P52" i="30"/>
  <c r="P51" i="30"/>
  <c r="P50" i="30"/>
  <c r="P49" i="30"/>
  <c r="P48" i="30"/>
  <c r="P47" i="30"/>
  <c r="P46" i="30"/>
  <c r="P45" i="30"/>
  <c r="P44" i="30"/>
  <c r="P43" i="30"/>
  <c r="P42" i="30"/>
  <c r="P41" i="30"/>
  <c r="P40" i="30"/>
  <c r="P39" i="30"/>
  <c r="O39" i="30"/>
  <c r="P38" i="30"/>
  <c r="P37" i="30"/>
  <c r="P36" i="30"/>
  <c r="P35" i="30"/>
  <c r="P34" i="30"/>
  <c r="P33" i="30"/>
  <c r="P32" i="30"/>
  <c r="P31" i="30"/>
  <c r="P30" i="30"/>
  <c r="P29" i="30"/>
  <c r="O29" i="30"/>
  <c r="P28" i="30"/>
  <c r="O28" i="30"/>
  <c r="P27" i="30"/>
  <c r="P26" i="30"/>
  <c r="P25" i="30"/>
  <c r="P24" i="30"/>
  <c r="P23" i="30"/>
  <c r="P22" i="30"/>
  <c r="P21" i="30"/>
  <c r="P20" i="30"/>
  <c r="P19" i="30"/>
  <c r="P18" i="30"/>
  <c r="O18" i="30"/>
  <c r="I13" i="30"/>
  <c r="I12" i="30"/>
  <c r="I11" i="30"/>
  <c r="I10" i="30"/>
  <c r="I9" i="30"/>
  <c r="I8" i="30"/>
  <c r="I7" i="30"/>
  <c r="N2" i="30"/>
  <c r="L2" i="30"/>
  <c r="I2" i="30"/>
  <c r="D2" i="30"/>
  <c r="C2" i="30"/>
  <c r="A2" i="30"/>
  <c r="S117" i="19"/>
  <c r="S116" i="19"/>
  <c r="S115" i="19"/>
  <c r="S114" i="19"/>
  <c r="S113" i="19"/>
  <c r="S112" i="19"/>
  <c r="S111" i="19"/>
  <c r="S110" i="19"/>
  <c r="S109" i="19"/>
  <c r="S108" i="19"/>
  <c r="S107" i="19"/>
  <c r="S106" i="19"/>
  <c r="S105" i="19"/>
  <c r="S104" i="19"/>
  <c r="S103" i="19"/>
  <c r="S102" i="19"/>
  <c r="S101" i="19"/>
  <c r="S100" i="19"/>
  <c r="S99" i="19"/>
  <c r="S98" i="19"/>
  <c r="S97" i="19"/>
  <c r="S96" i="19"/>
  <c r="S95" i="19"/>
  <c r="S94" i="19"/>
  <c r="S93" i="19"/>
  <c r="S92" i="19"/>
  <c r="S91" i="19"/>
  <c r="S90" i="19"/>
  <c r="S89" i="19"/>
  <c r="S88" i="19"/>
  <c r="S87" i="19"/>
  <c r="S86" i="19"/>
  <c r="S85" i="19"/>
  <c r="S84" i="19"/>
  <c r="S83" i="19"/>
  <c r="S82" i="19"/>
  <c r="S81" i="19"/>
  <c r="S80" i="19"/>
  <c r="S79" i="19"/>
  <c r="S78" i="19"/>
  <c r="S77" i="19"/>
  <c r="S76" i="19"/>
  <c r="S75" i="19"/>
  <c r="S74" i="19"/>
  <c r="S73" i="19"/>
  <c r="S72" i="19"/>
  <c r="S71" i="19"/>
  <c r="S70" i="19"/>
  <c r="S69" i="19"/>
  <c r="S68" i="19"/>
  <c r="S67" i="19"/>
  <c r="S66" i="19"/>
  <c r="S65" i="19"/>
  <c r="S64" i="19"/>
  <c r="S63" i="19"/>
  <c r="S62" i="19"/>
  <c r="S61" i="19"/>
  <c r="S60" i="19"/>
  <c r="S59" i="19"/>
  <c r="S58" i="19"/>
  <c r="S57" i="19"/>
  <c r="S56" i="19"/>
  <c r="S55" i="19"/>
  <c r="S54" i="19"/>
  <c r="S53" i="19"/>
  <c r="S52" i="19"/>
  <c r="S51" i="19"/>
  <c r="S50" i="19"/>
  <c r="S49" i="19"/>
  <c r="S48" i="19"/>
  <c r="S47" i="19"/>
  <c r="S46" i="19"/>
  <c r="S45" i="19"/>
  <c r="S44" i="19"/>
  <c r="S43" i="19"/>
  <c r="S42" i="19"/>
  <c r="S41" i="19"/>
  <c r="S40" i="19"/>
  <c r="S39" i="19"/>
  <c r="R39" i="19"/>
  <c r="S38" i="19"/>
  <c r="S37" i="19"/>
  <c r="S36" i="19"/>
  <c r="S35" i="19"/>
  <c r="S34" i="19"/>
  <c r="S33" i="19"/>
  <c r="S32" i="19"/>
  <c r="S31" i="19"/>
  <c r="S30" i="19"/>
  <c r="S29" i="19"/>
  <c r="R29" i="19"/>
  <c r="S28" i="19"/>
  <c r="R28" i="19"/>
  <c r="S27" i="19"/>
  <c r="S26" i="19"/>
  <c r="S25" i="19"/>
  <c r="S24" i="19"/>
  <c r="S23" i="19"/>
  <c r="S22" i="19"/>
  <c r="S21" i="19"/>
  <c r="S20" i="19"/>
  <c r="S19" i="19"/>
  <c r="S18" i="19"/>
  <c r="R18" i="19"/>
  <c r="A12" i="19"/>
  <c r="A11" i="19"/>
  <c r="A10" i="19"/>
  <c r="A9" i="19"/>
  <c r="A8" i="19"/>
  <c r="A7" i="19"/>
  <c r="L2" i="19"/>
  <c r="D2" i="19"/>
  <c r="C2" i="19"/>
  <c r="A2" i="19"/>
  <c r="A492" i="29"/>
  <c r="A496" i="29" s="1"/>
  <c r="A488" i="29"/>
  <c r="A491" i="29" s="1"/>
  <c r="A483" i="29"/>
  <c r="A487" i="29" s="1"/>
  <c r="A479" i="29"/>
  <c r="A482" i="29" s="1"/>
  <c r="A474" i="29"/>
  <c r="A478" i="29" s="1"/>
  <c r="A470" i="29"/>
  <c r="A473" i="29" s="1"/>
  <c r="A463" i="29"/>
  <c r="F459" i="29"/>
  <c r="A458" i="29"/>
  <c r="A457" i="29"/>
  <c r="A443" i="29"/>
  <c r="A447" i="29" s="1"/>
  <c r="A439" i="29"/>
  <c r="A442" i="29" s="1"/>
  <c r="A434" i="29"/>
  <c r="A438" i="29" s="1"/>
  <c r="A430" i="29"/>
  <c r="A433" i="29" s="1"/>
  <c r="F429" i="29"/>
  <c r="E429" i="29"/>
  <c r="D429" i="29"/>
  <c r="C429" i="29"/>
  <c r="B429" i="29"/>
  <c r="A425" i="29"/>
  <c r="A429" i="29" s="1"/>
  <c r="A421" i="29"/>
  <c r="A414" i="29"/>
  <c r="F410" i="29"/>
  <c r="A409" i="29"/>
  <c r="A408" i="29"/>
  <c r="A394" i="29"/>
  <c r="A398" i="29" s="1"/>
  <c r="A390" i="29"/>
  <c r="A385" i="29"/>
  <c r="A389" i="29" s="1"/>
  <c r="A381" i="29"/>
  <c r="A384" i="29" s="1"/>
  <c r="A376" i="29"/>
  <c r="A380" i="29" s="1"/>
  <c r="A372" i="29"/>
  <c r="A375" i="29" s="1"/>
  <c r="A365" i="29"/>
  <c r="F361" i="29"/>
  <c r="A360" i="29"/>
  <c r="A359" i="29"/>
  <c r="A345" i="29"/>
  <c r="A341" i="29"/>
  <c r="A344" i="29" s="1"/>
  <c r="A336" i="29"/>
  <c r="A340" i="29" s="1"/>
  <c r="A332" i="29"/>
  <c r="A335" i="29" s="1"/>
  <c r="F331" i="29"/>
  <c r="E331" i="29"/>
  <c r="D331" i="29"/>
  <c r="C331" i="29"/>
  <c r="B331" i="29"/>
  <c r="A327" i="29"/>
  <c r="A331" i="29" s="1"/>
  <c r="A323" i="29"/>
  <c r="A326" i="29" s="1"/>
  <c r="A316" i="29"/>
  <c r="F312" i="29"/>
  <c r="A311" i="29"/>
  <c r="A310" i="29"/>
  <c r="A296" i="29"/>
  <c r="A300" i="29" s="1"/>
  <c r="A292" i="29"/>
  <c r="A295" i="29" s="1"/>
  <c r="A287" i="29"/>
  <c r="A291" i="29" s="1"/>
  <c r="A283" i="29"/>
  <c r="A286" i="29" s="1"/>
  <c r="A278" i="29"/>
  <c r="A282" i="29" s="1"/>
  <c r="A274" i="29"/>
  <c r="A277" i="29" s="1"/>
  <c r="A267" i="29"/>
  <c r="F263" i="29"/>
  <c r="A262" i="29"/>
  <c r="A261" i="29"/>
  <c r="A247" i="29"/>
  <c r="A251" i="29" s="1"/>
  <c r="A239" i="29"/>
  <c r="A246" i="29" s="1"/>
  <c r="A234" i="29"/>
  <c r="A238" i="29" s="1"/>
  <c r="A230" i="29"/>
  <c r="A233" i="29" s="1"/>
  <c r="A225" i="29"/>
  <c r="A229" i="29" s="1"/>
  <c r="A221" i="29"/>
  <c r="A224" i="29" s="1"/>
  <c r="A214" i="29"/>
  <c r="F210" i="29"/>
  <c r="A209" i="29"/>
  <c r="A208" i="29"/>
  <c r="A194" i="29"/>
  <c r="A198" i="29" s="1"/>
  <c r="A190" i="29"/>
  <c r="A193" i="29" s="1"/>
  <c r="A185" i="29"/>
  <c r="A189" i="29" s="1"/>
  <c r="A181" i="29"/>
  <c r="A184" i="29" s="1"/>
  <c r="A176" i="29"/>
  <c r="A180" i="29" s="1"/>
  <c r="A172" i="29"/>
  <c r="A175" i="29" s="1"/>
  <c r="A165" i="29"/>
  <c r="F161" i="29"/>
  <c r="A160" i="29"/>
  <c r="A159" i="29"/>
  <c r="A145" i="29"/>
  <c r="A149" i="29" s="1"/>
  <c r="A138" i="29"/>
  <c r="A144" i="29" s="1"/>
  <c r="A133" i="29"/>
  <c r="A137" i="29" s="1"/>
  <c r="A129" i="29"/>
  <c r="A132" i="29" s="1"/>
  <c r="A124" i="29"/>
  <c r="A128" i="29" s="1"/>
  <c r="A120" i="29"/>
  <c r="A123" i="29" s="1"/>
  <c r="A113" i="29"/>
  <c r="F109" i="29"/>
  <c r="A108" i="29"/>
  <c r="A107" i="29"/>
  <c r="A93" i="29"/>
  <c r="A97" i="29" s="1"/>
  <c r="A85" i="29"/>
  <c r="A92" i="29" s="1"/>
  <c r="A80" i="29"/>
  <c r="A84" i="29" s="1"/>
  <c r="A76" i="29"/>
  <c r="A79" i="29" s="1"/>
  <c r="A71" i="29"/>
  <c r="A75" i="29" s="1"/>
  <c r="A67" i="29"/>
  <c r="A70" i="29" s="1"/>
  <c r="A60" i="29"/>
  <c r="F56" i="29"/>
  <c r="A55" i="29"/>
  <c r="A54" i="29"/>
  <c r="A40" i="29"/>
  <c r="A44" i="29" s="1"/>
  <c r="A32" i="29"/>
  <c r="A39" i="29" s="1"/>
  <c r="A27" i="29"/>
  <c r="A31" i="29" s="1"/>
  <c r="A23" i="29"/>
  <c r="A26" i="29" s="1"/>
  <c r="A18" i="29"/>
  <c r="A22" i="29" s="1"/>
  <c r="A14" i="29"/>
  <c r="A17" i="29" s="1"/>
  <c r="A7" i="29"/>
  <c r="F3" i="29"/>
  <c r="A2" i="29"/>
  <c r="A1" i="29"/>
  <c r="F16" i="5"/>
  <c r="A16" i="5"/>
  <c r="A21" i="8" s="1"/>
  <c r="F15" i="5"/>
  <c r="A15" i="5"/>
  <c r="B12" i="5"/>
  <c r="B11" i="5"/>
  <c r="B10" i="5"/>
  <c r="B9" i="5"/>
  <c r="B8" i="5"/>
  <c r="B212" i="29" s="1"/>
  <c r="H2" i="28"/>
  <c r="C2" i="28"/>
  <c r="G2" i="28"/>
  <c r="E2" i="28"/>
  <c r="I2" i="28"/>
  <c r="D2" i="28"/>
  <c r="F2" i="28"/>
  <c r="C503" i="29" l="1"/>
  <c r="A171" i="29"/>
  <c r="B55" i="19" s="1"/>
  <c r="F53" i="19"/>
  <c r="Q53" i="19" s="1"/>
  <c r="D53" i="19"/>
  <c r="O53" i="19" s="1"/>
  <c r="B53" i="19"/>
  <c r="E58" i="19"/>
  <c r="P58" i="19" s="1"/>
  <c r="D54" i="19"/>
  <c r="O54" i="19" s="1"/>
  <c r="A420" i="29"/>
  <c r="B107" i="19" s="1"/>
  <c r="M107" i="19" s="1"/>
  <c r="F104" i="29"/>
  <c r="A371" i="29"/>
  <c r="B96" i="19" s="1"/>
  <c r="F100" i="19"/>
  <c r="Q100" i="19" s="1"/>
  <c r="E99" i="19"/>
  <c r="P99" i="19" s="1"/>
  <c r="D100" i="19"/>
  <c r="O100" i="19" s="1"/>
  <c r="C98" i="19"/>
  <c r="N98" i="19" s="1"/>
  <c r="E98" i="19"/>
  <c r="P98" i="19" s="1"/>
  <c r="F51" i="29"/>
  <c r="C104" i="29"/>
  <c r="D104" i="29"/>
  <c r="E104" i="29"/>
  <c r="B104" i="29"/>
  <c r="E51" i="29"/>
  <c r="D51" i="29"/>
  <c r="C51" i="29"/>
  <c r="R22" i="33"/>
  <c r="Q22" i="33"/>
  <c r="I22" i="33" s="1"/>
  <c r="R30" i="33"/>
  <c r="Q30" i="33"/>
  <c r="I30" i="33" s="1"/>
  <c r="Q37" i="33"/>
  <c r="R37" i="33"/>
  <c r="Q45" i="33"/>
  <c r="I45" i="33" s="1"/>
  <c r="R45" i="33"/>
  <c r="R60" i="33"/>
  <c r="Q60" i="33"/>
  <c r="Q68" i="33"/>
  <c r="R68" i="33"/>
  <c r="Q76" i="33"/>
  <c r="I76" i="33" s="1"/>
  <c r="R76" i="33"/>
  <c r="Q84" i="33"/>
  <c r="R84" i="33"/>
  <c r="I84" i="33" s="1"/>
  <c r="R92" i="33"/>
  <c r="Q92" i="33"/>
  <c r="I92" i="33" s="1"/>
  <c r="R100" i="33"/>
  <c r="Q100" i="33"/>
  <c r="Q108" i="33"/>
  <c r="I108" i="33" s="1"/>
  <c r="R108" i="33"/>
  <c r="Q115" i="33"/>
  <c r="R115" i="33"/>
  <c r="I115" i="33" s="1"/>
  <c r="Q35" i="33"/>
  <c r="R35" i="33"/>
  <c r="Q74" i="33"/>
  <c r="I74" i="33" s="1"/>
  <c r="R74" i="33"/>
  <c r="Q98" i="33"/>
  <c r="I98" i="33" s="1"/>
  <c r="R98" i="33"/>
  <c r="Q21" i="33"/>
  <c r="R21" i="33"/>
  <c r="R51" i="33"/>
  <c r="Q51" i="33"/>
  <c r="R59" i="33"/>
  <c r="Q59" i="33"/>
  <c r="I59" i="33" s="1"/>
  <c r="Q91" i="33"/>
  <c r="I91" i="33" s="1"/>
  <c r="R91" i="33"/>
  <c r="R23" i="33"/>
  <c r="Q23" i="33"/>
  <c r="I23" i="33" s="1"/>
  <c r="R31" i="33"/>
  <c r="Q31" i="33"/>
  <c r="I31" i="33" s="1"/>
  <c r="R38" i="33"/>
  <c r="Q38" i="33"/>
  <c r="R46" i="33"/>
  <c r="Q46" i="33"/>
  <c r="R52" i="33"/>
  <c r="Q52" i="33"/>
  <c r="Q61" i="33"/>
  <c r="I61" i="33" s="1"/>
  <c r="R61" i="33"/>
  <c r="Q69" i="33"/>
  <c r="R69" i="33"/>
  <c r="Q77" i="33"/>
  <c r="I77" i="33" s="1"/>
  <c r="R77" i="33"/>
  <c r="Q85" i="33"/>
  <c r="I85" i="33" s="1"/>
  <c r="R85" i="33"/>
  <c r="Q93" i="33"/>
  <c r="R93" i="33"/>
  <c r="Q101" i="33"/>
  <c r="R101" i="33"/>
  <c r="Q116" i="33"/>
  <c r="I116" i="33" s="1"/>
  <c r="R116" i="33"/>
  <c r="R20" i="33"/>
  <c r="Q20" i="33"/>
  <c r="I20" i="33" s="1"/>
  <c r="Q50" i="33"/>
  <c r="I50" i="33" s="1"/>
  <c r="R50" i="33"/>
  <c r="Q58" i="33"/>
  <c r="I58" i="33" s="1"/>
  <c r="R58" i="33"/>
  <c r="Q82" i="33"/>
  <c r="R82" i="33"/>
  <c r="Q106" i="33"/>
  <c r="R106" i="33"/>
  <c r="Q29" i="33"/>
  <c r="R29" i="33"/>
  <c r="I29" i="33" s="1"/>
  <c r="Q75" i="33"/>
  <c r="I75" i="33" s="1"/>
  <c r="R75" i="33"/>
  <c r="R99" i="33"/>
  <c r="Q99" i="33"/>
  <c r="R24" i="33"/>
  <c r="Q24" i="33"/>
  <c r="I24" i="33" s="1"/>
  <c r="R39" i="33"/>
  <c r="Q39" i="33"/>
  <c r="Q47" i="33"/>
  <c r="I47" i="33" s="1"/>
  <c r="R47" i="33"/>
  <c r="Q53" i="33"/>
  <c r="I53" i="33" s="1"/>
  <c r="R53" i="33"/>
  <c r="R62" i="33"/>
  <c r="I62" i="33" s="1"/>
  <c r="Q62" i="33"/>
  <c r="R70" i="33"/>
  <c r="Q70" i="33"/>
  <c r="I70" i="33" s="1"/>
  <c r="R78" i="33"/>
  <c r="Q78" i="33"/>
  <c r="I78" i="33" s="1"/>
  <c r="R86" i="33"/>
  <c r="Q86" i="33"/>
  <c r="I86" i="33" s="1"/>
  <c r="R94" i="33"/>
  <c r="Q94" i="33"/>
  <c r="I94" i="33" s="1"/>
  <c r="R102" i="33"/>
  <c r="Q102" i="33"/>
  <c r="I102" i="33" s="1"/>
  <c r="Q109" i="33"/>
  <c r="I109" i="33" s="1"/>
  <c r="R109" i="33"/>
  <c r="Q117" i="33"/>
  <c r="R117" i="33"/>
  <c r="Q43" i="33"/>
  <c r="I43" i="33" s="1"/>
  <c r="R43" i="33"/>
  <c r="Q25" i="33"/>
  <c r="R25" i="33"/>
  <c r="R32" i="33"/>
  <c r="Q32" i="33"/>
  <c r="I32" i="33" s="1"/>
  <c r="R40" i="33"/>
  <c r="Q40" i="33"/>
  <c r="R48" i="33"/>
  <c r="Q48" i="33"/>
  <c r="R54" i="33"/>
  <c r="Q54" i="33"/>
  <c r="R63" i="33"/>
  <c r="Q63" i="33"/>
  <c r="I63" i="33" s="1"/>
  <c r="R71" i="33"/>
  <c r="I71" i="33" s="1"/>
  <c r="Q71" i="33"/>
  <c r="R79" i="33"/>
  <c r="Q79" i="33"/>
  <c r="R87" i="33"/>
  <c r="Q87" i="33"/>
  <c r="Q95" i="33"/>
  <c r="R95" i="33"/>
  <c r="R103" i="33"/>
  <c r="Q103" i="33"/>
  <c r="I103" i="33" s="1"/>
  <c r="R110" i="33"/>
  <c r="Q110" i="33"/>
  <c r="Q28" i="33"/>
  <c r="R28" i="33"/>
  <c r="Q66" i="33"/>
  <c r="I66" i="33" s="1"/>
  <c r="R66" i="33"/>
  <c r="R90" i="33"/>
  <c r="Q90" i="33"/>
  <c r="I90" i="33" s="1"/>
  <c r="R113" i="33"/>
  <c r="Q113" i="33"/>
  <c r="I113" i="33" s="1"/>
  <c r="Q44" i="33"/>
  <c r="R44" i="33"/>
  <c r="Q67" i="33"/>
  <c r="I67" i="33" s="1"/>
  <c r="R67" i="33"/>
  <c r="R107" i="33"/>
  <c r="Q107" i="33"/>
  <c r="R18" i="33"/>
  <c r="I18" i="33" s="1"/>
  <c r="Q18" i="33"/>
  <c r="Q26" i="33"/>
  <c r="I26" i="33" s="1"/>
  <c r="R26" i="33"/>
  <c r="Q33" i="33"/>
  <c r="I33" i="33" s="1"/>
  <c r="R33" i="33"/>
  <c r="Q41" i="33"/>
  <c r="I41" i="33" s="1"/>
  <c r="R41" i="33"/>
  <c r="R55" i="33"/>
  <c r="Q55" i="33"/>
  <c r="R64" i="33"/>
  <c r="Q64" i="33"/>
  <c r="R72" i="33"/>
  <c r="Q72" i="33"/>
  <c r="I72" i="33" s="1"/>
  <c r="R80" i="33"/>
  <c r="Q80" i="33"/>
  <c r="R88" i="33"/>
  <c r="Q88" i="33"/>
  <c r="I88" i="33" s="1"/>
  <c r="R96" i="33"/>
  <c r="Q96" i="33"/>
  <c r="I96" i="33" s="1"/>
  <c r="R104" i="33"/>
  <c r="Q104" i="33"/>
  <c r="R111" i="33"/>
  <c r="Q111" i="33"/>
  <c r="I111" i="33" s="1"/>
  <c r="Q36" i="33"/>
  <c r="I36" i="33" s="1"/>
  <c r="R36" i="33"/>
  <c r="Q83" i="33"/>
  <c r="I83" i="33" s="1"/>
  <c r="R83" i="33"/>
  <c r="R114" i="33"/>
  <c r="Q114" i="33"/>
  <c r="I114" i="33" s="1"/>
  <c r="Q19" i="33"/>
  <c r="I19" i="33" s="1"/>
  <c r="R19" i="33"/>
  <c r="Q27" i="33"/>
  <c r="R27" i="33"/>
  <c r="Q34" i="33"/>
  <c r="R34" i="33"/>
  <c r="Q42" i="33"/>
  <c r="I42" i="33" s="1"/>
  <c r="R42" i="33"/>
  <c r="Q49" i="33"/>
  <c r="R49" i="33"/>
  <c r="R56" i="33"/>
  <c r="Q56" i="33"/>
  <c r="I56" i="33" s="1"/>
  <c r="Q57" i="33"/>
  <c r="R57" i="33"/>
  <c r="Q65" i="33"/>
  <c r="R65" i="33"/>
  <c r="R73" i="33"/>
  <c r="Q73" i="33"/>
  <c r="Q81" i="33"/>
  <c r="I81" i="33" s="1"/>
  <c r="R81" i="33"/>
  <c r="R89" i="33"/>
  <c r="Q89" i="33"/>
  <c r="I89" i="33" s="1"/>
  <c r="Q97" i="33"/>
  <c r="I97" i="33" s="1"/>
  <c r="R97" i="33"/>
  <c r="Q105" i="33"/>
  <c r="I105" i="33" s="1"/>
  <c r="R105" i="33"/>
  <c r="R112" i="33"/>
  <c r="Q112" i="33"/>
  <c r="I112" i="33" s="1"/>
  <c r="Q31" i="32"/>
  <c r="I31" i="32" s="1"/>
  <c r="R31" i="32"/>
  <c r="R98" i="32"/>
  <c r="Q98" i="32"/>
  <c r="Q32" i="32"/>
  <c r="R32" i="32"/>
  <c r="Q62" i="32"/>
  <c r="R62" i="32"/>
  <c r="R84" i="32"/>
  <c r="Q84" i="32"/>
  <c r="R99" i="32"/>
  <c r="Q99" i="32"/>
  <c r="R108" i="32"/>
  <c r="Q108" i="32"/>
  <c r="I108" i="32" s="1"/>
  <c r="R18" i="32"/>
  <c r="Q18" i="32"/>
  <c r="R26" i="32"/>
  <c r="Q26" i="32"/>
  <c r="I26" i="32" s="1"/>
  <c r="Q33" i="32"/>
  <c r="I33" i="32" s="1"/>
  <c r="R33" i="32"/>
  <c r="Q41" i="32"/>
  <c r="R41" i="32"/>
  <c r="Q48" i="32"/>
  <c r="I48" i="32" s="1"/>
  <c r="R48" i="32"/>
  <c r="Q56" i="32"/>
  <c r="I56" i="32" s="1"/>
  <c r="R56" i="32"/>
  <c r="Q63" i="32"/>
  <c r="I63" i="32" s="1"/>
  <c r="R63" i="32"/>
  <c r="Q77" i="32"/>
  <c r="R77" i="32"/>
  <c r="Q85" i="32"/>
  <c r="I85" i="32" s="1"/>
  <c r="R85" i="32"/>
  <c r="R92" i="32"/>
  <c r="Q92" i="32"/>
  <c r="R100" i="32"/>
  <c r="Q100" i="32"/>
  <c r="I100" i="32" s="1"/>
  <c r="Q101" i="32"/>
  <c r="I101" i="32" s="1"/>
  <c r="R101" i="32"/>
  <c r="Q109" i="32"/>
  <c r="R109" i="32"/>
  <c r="Q117" i="32"/>
  <c r="R117" i="32"/>
  <c r="Q39" i="32"/>
  <c r="R39" i="32"/>
  <c r="Q61" i="32"/>
  <c r="I61" i="32" s="1"/>
  <c r="R61" i="32"/>
  <c r="R75" i="32"/>
  <c r="Q75" i="32"/>
  <c r="I75" i="32" s="1"/>
  <c r="R107" i="32"/>
  <c r="Q107" i="32"/>
  <c r="Q55" i="32"/>
  <c r="R55" i="32"/>
  <c r="Q70" i="32"/>
  <c r="I70" i="32" s="1"/>
  <c r="R70" i="32"/>
  <c r="R76" i="32"/>
  <c r="Q76" i="32"/>
  <c r="I76" i="32" s="1"/>
  <c r="R91" i="32"/>
  <c r="Q91" i="32"/>
  <c r="R116" i="32"/>
  <c r="Q116" i="32"/>
  <c r="I116" i="32" s="1"/>
  <c r="R19" i="32"/>
  <c r="Q19" i="32"/>
  <c r="I19" i="32" s="1"/>
  <c r="R27" i="32"/>
  <c r="I27" i="32" s="1"/>
  <c r="Q27" i="32"/>
  <c r="R34" i="32"/>
  <c r="Q34" i="32"/>
  <c r="R42" i="32"/>
  <c r="Q42" i="32"/>
  <c r="I42" i="32" s="1"/>
  <c r="R49" i="32"/>
  <c r="Q49" i="32"/>
  <c r="Q57" i="32"/>
  <c r="R57" i="32"/>
  <c r="Q64" i="32"/>
  <c r="R64" i="32"/>
  <c r="R78" i="32"/>
  <c r="Q78" i="32"/>
  <c r="I78" i="32" s="1"/>
  <c r="R86" i="32"/>
  <c r="Q86" i="32"/>
  <c r="I86" i="32" s="1"/>
  <c r="Q93" i="32"/>
  <c r="R93" i="32"/>
  <c r="Q102" i="32"/>
  <c r="R102" i="32"/>
  <c r="R110" i="32"/>
  <c r="Q110" i="32"/>
  <c r="I110" i="32" s="1"/>
  <c r="R54" i="32"/>
  <c r="Q54" i="32"/>
  <c r="I54" i="32" s="1"/>
  <c r="R90" i="32"/>
  <c r="Q90" i="32"/>
  <c r="R115" i="32"/>
  <c r="Q115" i="32"/>
  <c r="Q40" i="32"/>
  <c r="R40" i="32"/>
  <c r="R20" i="32"/>
  <c r="Q20" i="32"/>
  <c r="I20" i="32" s="1"/>
  <c r="R35" i="32"/>
  <c r="Q35" i="32"/>
  <c r="R50" i="32"/>
  <c r="Q50" i="32"/>
  <c r="I50" i="32" s="1"/>
  <c r="Q65" i="32"/>
  <c r="I65" i="32" s="1"/>
  <c r="R65" i="32"/>
  <c r="Q79" i="32"/>
  <c r="I79" i="32" s="1"/>
  <c r="R79" i="32"/>
  <c r="Q111" i="32"/>
  <c r="R111" i="32"/>
  <c r="Q21" i="32"/>
  <c r="R21" i="32"/>
  <c r="R28" i="32"/>
  <c r="Q28" i="32"/>
  <c r="I28" i="32" s="1"/>
  <c r="R36" i="32"/>
  <c r="Q36" i="32"/>
  <c r="R44" i="32"/>
  <c r="Q44" i="32"/>
  <c r="I44" i="32" s="1"/>
  <c r="R51" i="32"/>
  <c r="Q51" i="32"/>
  <c r="R66" i="32"/>
  <c r="Q66" i="32"/>
  <c r="I66" i="32" s="1"/>
  <c r="Q72" i="32"/>
  <c r="I72" i="32" s="1"/>
  <c r="R72" i="32"/>
  <c r="Q80" i="32"/>
  <c r="R80" i="32"/>
  <c r="Q95" i="32"/>
  <c r="R95" i="32"/>
  <c r="Q104" i="32"/>
  <c r="R104" i="32"/>
  <c r="Q112" i="32"/>
  <c r="I112" i="32" s="1"/>
  <c r="R112" i="32"/>
  <c r="Q24" i="32"/>
  <c r="I24" i="32" s="1"/>
  <c r="R24" i="32"/>
  <c r="Q47" i="32"/>
  <c r="R47" i="32"/>
  <c r="Q69" i="32"/>
  <c r="R69" i="32"/>
  <c r="R83" i="32"/>
  <c r="Q83" i="32"/>
  <c r="I83" i="32" s="1"/>
  <c r="Q25" i="32"/>
  <c r="I25" i="32" s="1"/>
  <c r="R25" i="32"/>
  <c r="Q71" i="32"/>
  <c r="R71" i="32"/>
  <c r="I71" i="32" s="1"/>
  <c r="Q22" i="32"/>
  <c r="R22" i="32"/>
  <c r="Q29" i="32"/>
  <c r="R29" i="32"/>
  <c r="Q37" i="32"/>
  <c r="R37" i="32"/>
  <c r="Q45" i="32"/>
  <c r="I45" i="32" s="1"/>
  <c r="R45" i="32"/>
  <c r="R52" i="32"/>
  <c r="Q52" i="32"/>
  <c r="I52" i="32" s="1"/>
  <c r="R59" i="32"/>
  <c r="Q59" i="32"/>
  <c r="R67" i="32"/>
  <c r="Q67" i="32"/>
  <c r="R73" i="32"/>
  <c r="Q73" i="32"/>
  <c r="Q81" i="32"/>
  <c r="I81" i="32" s="1"/>
  <c r="R81" i="32"/>
  <c r="Q88" i="32"/>
  <c r="I88" i="32" s="1"/>
  <c r="R88" i="32"/>
  <c r="Q96" i="32"/>
  <c r="I96" i="32" s="1"/>
  <c r="R96" i="32"/>
  <c r="Q105" i="32"/>
  <c r="R105" i="32"/>
  <c r="R113" i="32"/>
  <c r="Q113" i="32"/>
  <c r="I113" i="32" s="1"/>
  <c r="R43" i="32"/>
  <c r="Q43" i="32"/>
  <c r="I43" i="32" s="1"/>
  <c r="R58" i="32"/>
  <c r="Q58" i="32"/>
  <c r="Q87" i="32"/>
  <c r="R87" i="32"/>
  <c r="Q94" i="32"/>
  <c r="I94" i="32" s="1"/>
  <c r="R94" i="32"/>
  <c r="Q103" i="32"/>
  <c r="I103" i="32" s="1"/>
  <c r="R103" i="32"/>
  <c r="Q23" i="32"/>
  <c r="I23" i="32" s="1"/>
  <c r="R23" i="32"/>
  <c r="R30" i="32"/>
  <c r="Q30" i="32"/>
  <c r="I30" i="32" s="1"/>
  <c r="R38" i="32"/>
  <c r="Q38" i="32"/>
  <c r="Q46" i="32"/>
  <c r="I46" i="32" s="1"/>
  <c r="R46" i="32"/>
  <c r="Q53" i="32"/>
  <c r="I53" i="32" s="1"/>
  <c r="R53" i="32"/>
  <c r="R60" i="32"/>
  <c r="Q60" i="32"/>
  <c r="R68" i="32"/>
  <c r="Q68" i="32"/>
  <c r="I68" i="32" s="1"/>
  <c r="R74" i="32"/>
  <c r="Q74" i="32"/>
  <c r="R82" i="32"/>
  <c r="I82" i="32" s="1"/>
  <c r="Q82" i="32"/>
  <c r="Q89" i="32"/>
  <c r="R89" i="32"/>
  <c r="Q97" i="32"/>
  <c r="I97" i="32" s="1"/>
  <c r="R97" i="32"/>
  <c r="R106" i="32"/>
  <c r="Q106" i="32"/>
  <c r="R114" i="32"/>
  <c r="L114" i="32" s="1"/>
  <c r="Q114" i="32"/>
  <c r="I114" i="32" s="1"/>
  <c r="R55" i="31"/>
  <c r="Q55" i="31"/>
  <c r="R81" i="31"/>
  <c r="Q81" i="31"/>
  <c r="I81" i="31" s="1"/>
  <c r="R24" i="31"/>
  <c r="Q24" i="31"/>
  <c r="I24" i="31" s="1"/>
  <c r="R32" i="31"/>
  <c r="Q32" i="31"/>
  <c r="I32" i="31" s="1"/>
  <c r="R40" i="31"/>
  <c r="Q40" i="31"/>
  <c r="R48" i="31"/>
  <c r="Q48" i="31"/>
  <c r="I48" i="31" s="1"/>
  <c r="R56" i="31"/>
  <c r="Q56" i="31"/>
  <c r="R71" i="31"/>
  <c r="Q71" i="31"/>
  <c r="Q82" i="31"/>
  <c r="R82" i="31"/>
  <c r="I82" i="31" s="1"/>
  <c r="Q90" i="31"/>
  <c r="I90" i="31" s="1"/>
  <c r="R90" i="31"/>
  <c r="Q98" i="31"/>
  <c r="R98" i="31"/>
  <c r="Q106" i="31"/>
  <c r="R106" i="31"/>
  <c r="Q114" i="31"/>
  <c r="I114" i="31" s="1"/>
  <c r="R114" i="31"/>
  <c r="R47" i="31"/>
  <c r="Q47" i="31"/>
  <c r="I47" i="31" s="1"/>
  <c r="R105" i="31"/>
  <c r="Q105" i="31"/>
  <c r="I105" i="31" s="1"/>
  <c r="R25" i="31"/>
  <c r="Q25" i="31"/>
  <c r="I25" i="31" s="1"/>
  <c r="R33" i="31"/>
  <c r="Q33" i="31"/>
  <c r="R41" i="31"/>
  <c r="Q41" i="31"/>
  <c r="R49" i="31"/>
  <c r="I49" i="31" s="1"/>
  <c r="Q49" i="31"/>
  <c r="R57" i="31"/>
  <c r="Q57" i="31"/>
  <c r="I57" i="31" s="1"/>
  <c r="R64" i="31"/>
  <c r="Q64" i="31"/>
  <c r="I64" i="31" s="1"/>
  <c r="R72" i="31"/>
  <c r="Q72" i="31"/>
  <c r="I72" i="31" s="1"/>
  <c r="Q83" i="31"/>
  <c r="R83" i="31"/>
  <c r="Q91" i="31"/>
  <c r="I91" i="31" s="1"/>
  <c r="R91" i="31"/>
  <c r="R99" i="31"/>
  <c r="Q99" i="31"/>
  <c r="Q107" i="31"/>
  <c r="R107" i="31"/>
  <c r="Q115" i="31"/>
  <c r="R115" i="31"/>
  <c r="R31" i="31"/>
  <c r="Q31" i="31"/>
  <c r="I31" i="31" s="1"/>
  <c r="Q70" i="31"/>
  <c r="R70" i="31"/>
  <c r="R113" i="31"/>
  <c r="Q113" i="31"/>
  <c r="I113" i="31" s="1"/>
  <c r="Q18" i="31"/>
  <c r="R18" i="31"/>
  <c r="I18" i="31" s="1"/>
  <c r="Q26" i="31"/>
  <c r="I26" i="31" s="1"/>
  <c r="R26" i="31"/>
  <c r="Q34" i="31"/>
  <c r="I34" i="31" s="1"/>
  <c r="R34" i="31"/>
  <c r="Q42" i="31"/>
  <c r="I42" i="31" s="1"/>
  <c r="R42" i="31"/>
  <c r="Q50" i="31"/>
  <c r="I50" i="31" s="1"/>
  <c r="R50" i="31"/>
  <c r="Q58" i="31"/>
  <c r="I58" i="31" s="1"/>
  <c r="R58" i="31"/>
  <c r="R65" i="31"/>
  <c r="Q65" i="31"/>
  <c r="I65" i="31" s="1"/>
  <c r="R73" i="31"/>
  <c r="Q73" i="31"/>
  <c r="Q84" i="31"/>
  <c r="R84" i="31"/>
  <c r="Q92" i="31"/>
  <c r="I92" i="31" s="1"/>
  <c r="R92" i="31"/>
  <c r="R100" i="31"/>
  <c r="Q100" i="31"/>
  <c r="I100" i="31" s="1"/>
  <c r="R108" i="31"/>
  <c r="Q108" i="31"/>
  <c r="I108" i="31" s="1"/>
  <c r="Q116" i="31"/>
  <c r="R116" i="31"/>
  <c r="Q19" i="31"/>
  <c r="R19" i="31"/>
  <c r="Q27" i="31"/>
  <c r="R27" i="31"/>
  <c r="I27" i="31" s="1"/>
  <c r="R35" i="31"/>
  <c r="Q35" i="31"/>
  <c r="Q43" i="31"/>
  <c r="R43" i="31"/>
  <c r="Q51" i="31"/>
  <c r="R51" i="31"/>
  <c r="Q59" i="31"/>
  <c r="R59" i="31"/>
  <c r="Q66" i="31"/>
  <c r="I66" i="31" s="1"/>
  <c r="R66" i="31"/>
  <c r="Q74" i="31"/>
  <c r="I74" i="31" s="1"/>
  <c r="R74" i="31"/>
  <c r="Q77" i="31"/>
  <c r="I77" i="31" s="1"/>
  <c r="R77" i="31"/>
  <c r="Q85" i="31"/>
  <c r="R85" i="31"/>
  <c r="Q93" i="31"/>
  <c r="R93" i="31"/>
  <c r="I93" i="31" s="1"/>
  <c r="Q101" i="31"/>
  <c r="R101" i="31"/>
  <c r="Q109" i="31"/>
  <c r="I109" i="31" s="1"/>
  <c r="R109" i="31"/>
  <c r="Q117" i="31"/>
  <c r="R117" i="31"/>
  <c r="I117" i="31" s="1"/>
  <c r="Q20" i="31"/>
  <c r="I20" i="31" s="1"/>
  <c r="R20" i="31"/>
  <c r="R28" i="31"/>
  <c r="Q28" i="31"/>
  <c r="I28" i="31" s="1"/>
  <c r="R36" i="31"/>
  <c r="Q36" i="31"/>
  <c r="I36" i="31" s="1"/>
  <c r="Q44" i="31"/>
  <c r="I44" i="31" s="1"/>
  <c r="R44" i="31"/>
  <c r="R52" i="31"/>
  <c r="Q52" i="31"/>
  <c r="I52" i="31" s="1"/>
  <c r="R60" i="31"/>
  <c r="Q60" i="31"/>
  <c r="R67" i="31"/>
  <c r="Q67" i="31"/>
  <c r="I67" i="31" s="1"/>
  <c r="Q75" i="31"/>
  <c r="I75" i="31" s="1"/>
  <c r="R75" i="31"/>
  <c r="Q78" i="31"/>
  <c r="R78" i="31"/>
  <c r="Q86" i="31"/>
  <c r="I86" i="31" s="1"/>
  <c r="R86" i="31"/>
  <c r="Q94" i="31"/>
  <c r="I94" i="31" s="1"/>
  <c r="R94" i="31"/>
  <c r="Q102" i="31"/>
  <c r="R102" i="31"/>
  <c r="Q110" i="31"/>
  <c r="I110" i="31" s="1"/>
  <c r="R110" i="31"/>
  <c r="R23" i="31"/>
  <c r="Q23" i="31"/>
  <c r="I23" i="31" s="1"/>
  <c r="R63" i="31"/>
  <c r="Q63" i="31"/>
  <c r="I63" i="31" s="1"/>
  <c r="R89" i="31"/>
  <c r="Q89" i="31"/>
  <c r="I89" i="31" s="1"/>
  <c r="Q21" i="31"/>
  <c r="I21" i="31" s="1"/>
  <c r="R21" i="31"/>
  <c r="Q29" i="31"/>
  <c r="R29" i="31"/>
  <c r="I29" i="31" s="1"/>
  <c r="Q37" i="31"/>
  <c r="R37" i="31"/>
  <c r="Q45" i="31"/>
  <c r="I45" i="31" s="1"/>
  <c r="R45" i="31"/>
  <c r="Q53" i="31"/>
  <c r="I53" i="31" s="1"/>
  <c r="R53" i="31"/>
  <c r="Q61" i="31"/>
  <c r="I61" i="31" s="1"/>
  <c r="R61" i="31"/>
  <c r="R68" i="31"/>
  <c r="Q68" i="31"/>
  <c r="R76" i="31"/>
  <c r="Q76" i="31"/>
  <c r="I76" i="31" s="1"/>
  <c r="R79" i="31"/>
  <c r="Q79" i="31"/>
  <c r="R87" i="31"/>
  <c r="Q87" i="31"/>
  <c r="I87" i="31" s="1"/>
  <c r="R95" i="31"/>
  <c r="Q95" i="31"/>
  <c r="R103" i="31"/>
  <c r="Q103" i="31"/>
  <c r="I103" i="31" s="1"/>
  <c r="R111" i="31"/>
  <c r="Q111" i="31"/>
  <c r="I111" i="31" s="1"/>
  <c r="O29" i="32"/>
  <c r="R39" i="31"/>
  <c r="Q39" i="31"/>
  <c r="I39" i="31" s="1"/>
  <c r="R97" i="31"/>
  <c r="Q97" i="31"/>
  <c r="Q22" i="31"/>
  <c r="R22" i="31"/>
  <c r="Q30" i="31"/>
  <c r="R30" i="31"/>
  <c r="Q38" i="31"/>
  <c r="R38" i="31"/>
  <c r="Q46" i="31"/>
  <c r="R46" i="31"/>
  <c r="Q54" i="31"/>
  <c r="I54" i="31" s="1"/>
  <c r="R54" i="31"/>
  <c r="Q62" i="31"/>
  <c r="R62" i="31"/>
  <c r="I62" i="31" s="1"/>
  <c r="Q69" i="31"/>
  <c r="I69" i="31" s="1"/>
  <c r="R69" i="31"/>
  <c r="R80" i="31"/>
  <c r="Q80" i="31"/>
  <c r="R88" i="31"/>
  <c r="Q88" i="31"/>
  <c r="I88" i="31" s="1"/>
  <c r="R96" i="31"/>
  <c r="Q96" i="31"/>
  <c r="I96" i="31" s="1"/>
  <c r="R104" i="31"/>
  <c r="Q104" i="31"/>
  <c r="R112" i="31"/>
  <c r="Q112" i="31"/>
  <c r="I112" i="31" s="1"/>
  <c r="R67" i="30"/>
  <c r="Q67" i="30"/>
  <c r="I67" i="30" s="1"/>
  <c r="Q22" i="30"/>
  <c r="I22" i="30" s="1"/>
  <c r="R22" i="30"/>
  <c r="Q94" i="30"/>
  <c r="I94" i="30" s="1"/>
  <c r="R94" i="30"/>
  <c r="Q23" i="30"/>
  <c r="I23" i="30" s="1"/>
  <c r="R23" i="30"/>
  <c r="R36" i="30"/>
  <c r="Q36" i="30"/>
  <c r="I36" i="30" s="1"/>
  <c r="Q42" i="30"/>
  <c r="I42" i="30" s="1"/>
  <c r="R42" i="30"/>
  <c r="Q55" i="30"/>
  <c r="R55" i="30"/>
  <c r="R61" i="30"/>
  <c r="Q61" i="30"/>
  <c r="I61" i="30" s="1"/>
  <c r="R68" i="30"/>
  <c r="Q68" i="30"/>
  <c r="I68" i="30" s="1"/>
  <c r="R75" i="30"/>
  <c r="Q75" i="30"/>
  <c r="I75" i="30" s="1"/>
  <c r="Q81" i="30"/>
  <c r="R81" i="30"/>
  <c r="R88" i="30"/>
  <c r="Q88" i="30"/>
  <c r="I88" i="30" s="1"/>
  <c r="Q95" i="30"/>
  <c r="R95" i="30"/>
  <c r="R101" i="30"/>
  <c r="Q101" i="30"/>
  <c r="R108" i="30"/>
  <c r="Q108" i="30"/>
  <c r="I108" i="30" s="1"/>
  <c r="R115" i="30"/>
  <c r="Q115" i="30"/>
  <c r="Q34" i="30"/>
  <c r="R34" i="30"/>
  <c r="R53" i="30"/>
  <c r="Q53" i="30"/>
  <c r="I53" i="30" s="1"/>
  <c r="Q79" i="30"/>
  <c r="R79" i="30"/>
  <c r="Q113" i="30"/>
  <c r="I113" i="30" s="1"/>
  <c r="R113" i="30"/>
  <c r="R35" i="30"/>
  <c r="Q35" i="30"/>
  <c r="I35" i="30" s="1"/>
  <c r="Q74" i="30"/>
  <c r="R74" i="30"/>
  <c r="R100" i="30"/>
  <c r="Q100" i="30"/>
  <c r="Q24" i="30"/>
  <c r="I24" i="30" s="1"/>
  <c r="R24" i="30"/>
  <c r="R29" i="30"/>
  <c r="Q29" i="30"/>
  <c r="R37" i="30"/>
  <c r="Q37" i="30"/>
  <c r="R43" i="30"/>
  <c r="Q43" i="30"/>
  <c r="Q49" i="30"/>
  <c r="R49" i="30"/>
  <c r="Q56" i="30"/>
  <c r="R56" i="30"/>
  <c r="Q62" i="30"/>
  <c r="R62" i="30"/>
  <c r="R76" i="30"/>
  <c r="Q76" i="30"/>
  <c r="I76" i="30" s="1"/>
  <c r="Q82" i="30"/>
  <c r="R82" i="30"/>
  <c r="Q96" i="30"/>
  <c r="R96" i="30"/>
  <c r="Q102" i="30"/>
  <c r="I102" i="30" s="1"/>
  <c r="R102" i="30"/>
  <c r="R116" i="30"/>
  <c r="Q116" i="30"/>
  <c r="I116" i="30" s="1"/>
  <c r="Q40" i="30"/>
  <c r="R40" i="30"/>
  <c r="R59" i="30"/>
  <c r="Q59" i="30"/>
  <c r="I59" i="30" s="1"/>
  <c r="Q87" i="30"/>
  <c r="R87" i="30"/>
  <c r="R107" i="30"/>
  <c r="Q107" i="30"/>
  <c r="I107" i="30" s="1"/>
  <c r="R48" i="30"/>
  <c r="Q48" i="30"/>
  <c r="Q54" i="30"/>
  <c r="R54" i="30"/>
  <c r="Q114" i="30"/>
  <c r="I114" i="30" s="1"/>
  <c r="R114" i="30"/>
  <c r="Q25" i="30"/>
  <c r="R25" i="30"/>
  <c r="Q30" i="30"/>
  <c r="I30" i="30" s="1"/>
  <c r="R30" i="30"/>
  <c r="R44" i="30"/>
  <c r="Q44" i="30"/>
  <c r="Q50" i="30"/>
  <c r="I50" i="30" s="1"/>
  <c r="R50" i="30"/>
  <c r="Q57" i="30"/>
  <c r="R57" i="30"/>
  <c r="Q63" i="30"/>
  <c r="I63" i="30" s="1"/>
  <c r="R63" i="30"/>
  <c r="R69" i="30"/>
  <c r="Q69" i="30"/>
  <c r="I69" i="30" s="1"/>
  <c r="R77" i="30"/>
  <c r="Q77" i="30"/>
  <c r="R83" i="30"/>
  <c r="Q83" i="30"/>
  <c r="I83" i="30" s="1"/>
  <c r="Q89" i="30"/>
  <c r="I89" i="30" s="1"/>
  <c r="R89" i="30"/>
  <c r="Q97" i="30"/>
  <c r="R97" i="30"/>
  <c r="Q103" i="30"/>
  <c r="I103" i="30" s="1"/>
  <c r="R103" i="30"/>
  <c r="R109" i="30"/>
  <c r="Q109" i="30"/>
  <c r="R117" i="30"/>
  <c r="I117" i="30" s="1"/>
  <c r="Q117" i="30"/>
  <c r="R21" i="30"/>
  <c r="Q21" i="30"/>
  <c r="I21" i="30" s="1"/>
  <c r="R99" i="30"/>
  <c r="Q99" i="30"/>
  <c r="Q41" i="30"/>
  <c r="I41" i="30" s="1"/>
  <c r="R41" i="30"/>
  <c r="R18" i="30"/>
  <c r="I18" i="30" s="1"/>
  <c r="Q18" i="30"/>
  <c r="Q26" i="30"/>
  <c r="R26" i="30"/>
  <c r="J26" i="30" s="1"/>
  <c r="Q31" i="30"/>
  <c r="I31" i="30" s="1"/>
  <c r="R31" i="30"/>
  <c r="Q38" i="30"/>
  <c r="R38" i="30"/>
  <c r="I38" i="30" s="1"/>
  <c r="R45" i="30"/>
  <c r="Q45" i="30"/>
  <c r="I45" i="30" s="1"/>
  <c r="R51" i="30"/>
  <c r="Q51" i="30"/>
  <c r="Q64" i="30"/>
  <c r="I64" i="30" s="1"/>
  <c r="R64" i="30"/>
  <c r="Q70" i="30"/>
  <c r="I70" i="30" s="1"/>
  <c r="R70" i="30"/>
  <c r="R84" i="30"/>
  <c r="Q84" i="30"/>
  <c r="Q90" i="30"/>
  <c r="I90" i="30" s="1"/>
  <c r="R90" i="30"/>
  <c r="Q104" i="30"/>
  <c r="R104" i="30"/>
  <c r="Q110" i="30"/>
  <c r="I110" i="30" s="1"/>
  <c r="R110" i="30"/>
  <c r="Q73" i="30"/>
  <c r="R73" i="30"/>
  <c r="R28" i="30"/>
  <c r="Q28" i="30"/>
  <c r="I28" i="30" s="1"/>
  <c r="R60" i="30"/>
  <c r="Q60" i="30"/>
  <c r="Q80" i="30"/>
  <c r="R80" i="30"/>
  <c r="R19" i="30"/>
  <c r="Q19" i="30"/>
  <c r="Q32" i="30"/>
  <c r="I32" i="30" s="1"/>
  <c r="R32" i="30"/>
  <c r="Q46" i="30"/>
  <c r="I46" i="30" s="1"/>
  <c r="R46" i="30"/>
  <c r="R52" i="30"/>
  <c r="Q52" i="30"/>
  <c r="I52" i="30" s="1"/>
  <c r="Q58" i="30"/>
  <c r="I58" i="30" s="1"/>
  <c r="R58" i="30"/>
  <c r="Q65" i="30"/>
  <c r="I65" i="30" s="1"/>
  <c r="R65" i="30"/>
  <c r="Q71" i="30"/>
  <c r="R71" i="30"/>
  <c r="Q78" i="30"/>
  <c r="I78" i="30" s="1"/>
  <c r="R78" i="30"/>
  <c r="R85" i="30"/>
  <c r="Q85" i="30"/>
  <c r="I85" i="30" s="1"/>
  <c r="R91" i="30"/>
  <c r="Q91" i="30"/>
  <c r="I91" i="30" s="1"/>
  <c r="Q98" i="30"/>
  <c r="I98" i="30" s="1"/>
  <c r="R98" i="30"/>
  <c r="Q105" i="30"/>
  <c r="I105" i="30" s="1"/>
  <c r="R105" i="30"/>
  <c r="Q111" i="30"/>
  <c r="I111" i="30" s="1"/>
  <c r="R111" i="30"/>
  <c r="R93" i="30"/>
  <c r="I93" i="30" s="1"/>
  <c r="Q93" i="30"/>
  <c r="R20" i="30"/>
  <c r="Q20" i="30"/>
  <c r="I20" i="30" s="1"/>
  <c r="R27" i="30"/>
  <c r="I27" i="30" s="1"/>
  <c r="Q27" i="30"/>
  <c r="Q33" i="30"/>
  <c r="I33" i="30" s="1"/>
  <c r="R33" i="30"/>
  <c r="Q39" i="30"/>
  <c r="R39" i="30"/>
  <c r="Q47" i="30"/>
  <c r="I47" i="30" s="1"/>
  <c r="R47" i="30"/>
  <c r="Q66" i="30"/>
  <c r="I66" i="30" s="1"/>
  <c r="R66" i="30"/>
  <c r="R72" i="30"/>
  <c r="Q72" i="30"/>
  <c r="I72" i="30" s="1"/>
  <c r="Q86" i="30"/>
  <c r="I86" i="30" s="1"/>
  <c r="R86" i="30"/>
  <c r="R92" i="30"/>
  <c r="Q92" i="30"/>
  <c r="I92" i="30" s="1"/>
  <c r="Q106" i="30"/>
  <c r="R106" i="30"/>
  <c r="R112" i="30"/>
  <c r="Q112" i="30"/>
  <c r="R58" i="34"/>
  <c r="Q58" i="34"/>
  <c r="I58" i="34" s="1"/>
  <c r="Q81" i="34"/>
  <c r="I81" i="34" s="1"/>
  <c r="R81" i="34"/>
  <c r="R19" i="34"/>
  <c r="Q19" i="34"/>
  <c r="I19" i="34" s="1"/>
  <c r="R27" i="34"/>
  <c r="Q27" i="34"/>
  <c r="R35" i="34"/>
  <c r="Q35" i="34"/>
  <c r="R43" i="34"/>
  <c r="Q43" i="34"/>
  <c r="I43" i="34" s="1"/>
  <c r="R51" i="34"/>
  <c r="Q51" i="34"/>
  <c r="R59" i="34"/>
  <c r="Q59" i="34"/>
  <c r="I59" i="34" s="1"/>
  <c r="R67" i="34"/>
  <c r="Q67" i="34"/>
  <c r="R74" i="34"/>
  <c r="Q74" i="34"/>
  <c r="I74" i="34" s="1"/>
  <c r="R82" i="34"/>
  <c r="Q82" i="34"/>
  <c r="Q89" i="34"/>
  <c r="R89" i="34"/>
  <c r="Q97" i="34"/>
  <c r="R97" i="34"/>
  <c r="R105" i="34"/>
  <c r="Q105" i="34"/>
  <c r="Q113" i="34"/>
  <c r="I113" i="34" s="1"/>
  <c r="R113" i="34"/>
  <c r="R66" i="34"/>
  <c r="Q66" i="34"/>
  <c r="I66" i="34" s="1"/>
  <c r="R20" i="34"/>
  <c r="Q20" i="34"/>
  <c r="I20" i="34" s="1"/>
  <c r="R28" i="34"/>
  <c r="Q28" i="34"/>
  <c r="I28" i="34" s="1"/>
  <c r="R36" i="34"/>
  <c r="Q36" i="34"/>
  <c r="I36" i="34" s="1"/>
  <c r="R44" i="34"/>
  <c r="Q44" i="34"/>
  <c r="I44" i="34" s="1"/>
  <c r="R52" i="34"/>
  <c r="Q52" i="34"/>
  <c r="I52" i="34" s="1"/>
  <c r="R60" i="34"/>
  <c r="Q60" i="34"/>
  <c r="R68" i="34"/>
  <c r="Q68" i="34"/>
  <c r="I68" i="34" s="1"/>
  <c r="R75" i="34"/>
  <c r="Q75" i="34"/>
  <c r="I75" i="34" s="1"/>
  <c r="R83" i="34"/>
  <c r="Q83" i="34"/>
  <c r="I83" i="34" s="1"/>
  <c r="R90" i="34"/>
  <c r="Q90" i="34"/>
  <c r="I90" i="34" s="1"/>
  <c r="R98" i="34"/>
  <c r="Q98" i="34"/>
  <c r="I98" i="34" s="1"/>
  <c r="R106" i="34"/>
  <c r="Q106" i="34"/>
  <c r="R114" i="34"/>
  <c r="Q114" i="34"/>
  <c r="I114" i="34" s="1"/>
  <c r="R50" i="34"/>
  <c r="Q50" i="34"/>
  <c r="I50" i="34" s="1"/>
  <c r="Q73" i="34"/>
  <c r="R73" i="34"/>
  <c r="Q21" i="34"/>
  <c r="I21" i="34" s="1"/>
  <c r="R21" i="34"/>
  <c r="Q29" i="34"/>
  <c r="R29" i="34"/>
  <c r="I29" i="34" s="1"/>
  <c r="Q37" i="34"/>
  <c r="R37" i="34"/>
  <c r="Q45" i="34"/>
  <c r="I45" i="34" s="1"/>
  <c r="R45" i="34"/>
  <c r="Q53" i="34"/>
  <c r="I53" i="34" s="1"/>
  <c r="R53" i="34"/>
  <c r="Q61" i="34"/>
  <c r="I61" i="34" s="1"/>
  <c r="R61" i="34"/>
  <c r="R76" i="34"/>
  <c r="Q76" i="34"/>
  <c r="I76" i="34" s="1"/>
  <c r="R84" i="34"/>
  <c r="Q84" i="34"/>
  <c r="R91" i="34"/>
  <c r="Q91" i="34"/>
  <c r="I91" i="34" s="1"/>
  <c r="R99" i="34"/>
  <c r="Q99" i="34"/>
  <c r="R107" i="34"/>
  <c r="Q107" i="34"/>
  <c r="R115" i="34"/>
  <c r="Q115" i="34"/>
  <c r="R42" i="34"/>
  <c r="Q42" i="34"/>
  <c r="I42" i="34" s="1"/>
  <c r="N42" i="34" s="1"/>
  <c r="Q112" i="34"/>
  <c r="I112" i="34" s="1"/>
  <c r="R112" i="34"/>
  <c r="R22" i="34"/>
  <c r="Q22" i="34"/>
  <c r="I22" i="34" s="1"/>
  <c r="Q30" i="34"/>
  <c r="R30" i="34"/>
  <c r="Q38" i="34"/>
  <c r="R38" i="34"/>
  <c r="R46" i="34"/>
  <c r="Q46" i="34"/>
  <c r="Q54" i="34"/>
  <c r="I54" i="34" s="1"/>
  <c r="R54" i="34"/>
  <c r="Q62" i="34"/>
  <c r="R62" i="34"/>
  <c r="I62" i="34" s="1"/>
  <c r="N62" i="34" s="1"/>
  <c r="Q69" i="34"/>
  <c r="R69" i="34"/>
  <c r="Q77" i="34"/>
  <c r="R77" i="34"/>
  <c r="Q85" i="34"/>
  <c r="I85" i="34" s="1"/>
  <c r="R85" i="34"/>
  <c r="R92" i="34"/>
  <c r="Q92" i="34"/>
  <c r="I92" i="34" s="1"/>
  <c r="R100" i="34"/>
  <c r="Q100" i="34"/>
  <c r="I100" i="34" s="1"/>
  <c r="R108" i="34"/>
  <c r="Q108" i="34"/>
  <c r="I108" i="34" s="1"/>
  <c r="R116" i="34"/>
  <c r="Q116" i="34"/>
  <c r="R34" i="34"/>
  <c r="Q34" i="34"/>
  <c r="I34" i="34" s="1"/>
  <c r="Q104" i="34"/>
  <c r="R104" i="34"/>
  <c r="R23" i="34"/>
  <c r="Q23" i="34"/>
  <c r="I23" i="34" s="1"/>
  <c r="R31" i="34"/>
  <c r="Q31" i="34"/>
  <c r="I31" i="34" s="1"/>
  <c r="Q39" i="34"/>
  <c r="R39" i="34"/>
  <c r="R47" i="34"/>
  <c r="Q47" i="34"/>
  <c r="I47" i="34" s="1"/>
  <c r="R55" i="34"/>
  <c r="Q55" i="34"/>
  <c r="R63" i="34"/>
  <c r="Q63" i="34"/>
  <c r="I63" i="34" s="1"/>
  <c r="Q70" i="34"/>
  <c r="I70" i="34" s="1"/>
  <c r="R70" i="34"/>
  <c r="R78" i="34"/>
  <c r="Q78" i="34"/>
  <c r="I78" i="34" s="1"/>
  <c r="Q86" i="34"/>
  <c r="I86" i="34" s="1"/>
  <c r="R86" i="34"/>
  <c r="Q93" i="34"/>
  <c r="R93" i="34"/>
  <c r="Q101" i="34"/>
  <c r="I101" i="34" s="1"/>
  <c r="R101" i="34"/>
  <c r="Q109" i="34"/>
  <c r="R109" i="34"/>
  <c r="Q117" i="34"/>
  <c r="R117" i="34"/>
  <c r="I117" i="34" s="1"/>
  <c r="Q18" i="34"/>
  <c r="R18" i="34"/>
  <c r="I18" i="34" s="1"/>
  <c r="Q88" i="34"/>
  <c r="I88" i="34" s="1"/>
  <c r="R88" i="34"/>
  <c r="Q24" i="34"/>
  <c r="I24" i="34" s="1"/>
  <c r="R24" i="34"/>
  <c r="Q32" i="34"/>
  <c r="I32" i="34" s="1"/>
  <c r="R32" i="34"/>
  <c r="Q40" i="34"/>
  <c r="R40" i="34"/>
  <c r="Q48" i="34"/>
  <c r="I48" i="34" s="1"/>
  <c r="R48" i="34"/>
  <c r="Q56" i="34"/>
  <c r="I56" i="34" s="1"/>
  <c r="R56" i="34"/>
  <c r="Q64" i="34"/>
  <c r="I64" i="34" s="1"/>
  <c r="R64" i="34"/>
  <c r="Q71" i="34"/>
  <c r="R71" i="34"/>
  <c r="I71" i="34" s="1"/>
  <c r="R79" i="34"/>
  <c r="Q79" i="34"/>
  <c r="I79" i="34" s="1"/>
  <c r="Q87" i="34"/>
  <c r="R87" i="34"/>
  <c r="Q94" i="34"/>
  <c r="I94" i="34" s="1"/>
  <c r="R94" i="34"/>
  <c r="Q102" i="34"/>
  <c r="I102" i="34" s="1"/>
  <c r="R102" i="34"/>
  <c r="R110" i="34"/>
  <c r="Q110" i="34"/>
  <c r="I110" i="34" s="1"/>
  <c r="R26" i="34"/>
  <c r="Q26" i="34"/>
  <c r="I26" i="34" s="1"/>
  <c r="Q96" i="34"/>
  <c r="I96" i="34" s="1"/>
  <c r="R96" i="34"/>
  <c r="Q25" i="34"/>
  <c r="I25" i="34" s="1"/>
  <c r="R25" i="34"/>
  <c r="Q33" i="34"/>
  <c r="I33" i="34" s="1"/>
  <c r="R33" i="34"/>
  <c r="Q41" i="34"/>
  <c r="I41" i="34" s="1"/>
  <c r="R41" i="34"/>
  <c r="Q49" i="34"/>
  <c r="R49" i="34"/>
  <c r="I49" i="34" s="1"/>
  <c r="Q57" i="34"/>
  <c r="R57" i="34"/>
  <c r="R65" i="34"/>
  <c r="Q65" i="34"/>
  <c r="I65" i="34" s="1"/>
  <c r="Q72" i="34"/>
  <c r="I72" i="34" s="1"/>
  <c r="R72" i="34"/>
  <c r="Q80" i="34"/>
  <c r="I80" i="34" s="1"/>
  <c r="R80" i="34"/>
  <c r="R95" i="34"/>
  <c r="Q95" i="34"/>
  <c r="Q103" i="34"/>
  <c r="I103" i="34" s="1"/>
  <c r="R103" i="34"/>
  <c r="Q111" i="34"/>
  <c r="I111" i="34" s="1"/>
  <c r="R111" i="34"/>
  <c r="A349" i="29"/>
  <c r="A393" i="29"/>
  <c r="E101" i="19" s="1"/>
  <c r="P101" i="19" s="1"/>
  <c r="T90" i="19"/>
  <c r="L90" i="19" s="1"/>
  <c r="U90" i="19"/>
  <c r="T42" i="19"/>
  <c r="L42" i="19" s="1"/>
  <c r="U42" i="19"/>
  <c r="T22" i="19"/>
  <c r="L22" i="19" s="1"/>
  <c r="U22" i="19"/>
  <c r="T36" i="19"/>
  <c r="L36" i="19" s="1"/>
  <c r="U36" i="19"/>
  <c r="T43" i="19"/>
  <c r="L43" i="19" s="1"/>
  <c r="U43" i="19"/>
  <c r="T50" i="19"/>
  <c r="L50" i="19" s="1"/>
  <c r="U50" i="19"/>
  <c r="T58" i="19"/>
  <c r="L58" i="19" s="1"/>
  <c r="U58" i="19"/>
  <c r="T66" i="19"/>
  <c r="L66" i="19" s="1"/>
  <c r="U66" i="19"/>
  <c r="U72" i="19"/>
  <c r="T72" i="19"/>
  <c r="T86" i="19"/>
  <c r="L86" i="19" s="1"/>
  <c r="U86" i="19"/>
  <c r="T92" i="19"/>
  <c r="L92" i="19" s="1"/>
  <c r="U92" i="19"/>
  <c r="T106" i="19"/>
  <c r="U106" i="19"/>
  <c r="U112" i="19"/>
  <c r="T112" i="19"/>
  <c r="L112" i="19" s="1"/>
  <c r="U78" i="19"/>
  <c r="T78" i="19"/>
  <c r="L78" i="19" s="1"/>
  <c r="T29" i="19"/>
  <c r="U29" i="19"/>
  <c r="U37" i="19"/>
  <c r="T37" i="19"/>
  <c r="L37" i="19" s="1"/>
  <c r="T44" i="19"/>
  <c r="L44" i="19" s="1"/>
  <c r="U44" i="19"/>
  <c r="T51" i="19"/>
  <c r="U51" i="19"/>
  <c r="T59" i="19"/>
  <c r="L59" i="19" s="1"/>
  <c r="U59" i="19"/>
  <c r="T67" i="19"/>
  <c r="L67" i="19" s="1"/>
  <c r="U67" i="19"/>
  <c r="T73" i="19"/>
  <c r="U73" i="19"/>
  <c r="T79" i="19"/>
  <c r="L79" i="19" s="1"/>
  <c r="U79" i="19"/>
  <c r="T87" i="19"/>
  <c r="L87" i="19" s="1"/>
  <c r="U87" i="19"/>
  <c r="T93" i="19"/>
  <c r="U93" i="19"/>
  <c r="T99" i="19"/>
  <c r="L99" i="19" s="1"/>
  <c r="U99" i="19"/>
  <c r="T107" i="19"/>
  <c r="L107" i="19" s="1"/>
  <c r="U107" i="19"/>
  <c r="T113" i="19"/>
  <c r="L113" i="19" s="1"/>
  <c r="U113" i="19"/>
  <c r="T20" i="19"/>
  <c r="L20" i="19" s="1"/>
  <c r="U20" i="19"/>
  <c r="T34" i="19"/>
  <c r="L34" i="19" s="1"/>
  <c r="U34" i="19"/>
  <c r="U56" i="19"/>
  <c r="T56" i="19"/>
  <c r="L56" i="19" s="1"/>
  <c r="T70" i="19"/>
  <c r="L70" i="19" s="1"/>
  <c r="U70" i="19"/>
  <c r="T35" i="19"/>
  <c r="L35" i="19" s="1"/>
  <c r="U35" i="19"/>
  <c r="T105" i="19"/>
  <c r="L105" i="19" s="1"/>
  <c r="U105" i="19"/>
  <c r="U24" i="19"/>
  <c r="T24" i="19"/>
  <c r="L24" i="19" s="1"/>
  <c r="U30" i="19"/>
  <c r="T30" i="19"/>
  <c r="L30" i="19" s="1"/>
  <c r="T38" i="19"/>
  <c r="U38" i="19"/>
  <c r="U45" i="19"/>
  <c r="T45" i="19"/>
  <c r="L45" i="19" s="1"/>
  <c r="T52" i="19"/>
  <c r="L52" i="19" s="1"/>
  <c r="U52" i="19"/>
  <c r="T60" i="19"/>
  <c r="U60" i="19"/>
  <c r="T74" i="19"/>
  <c r="L74" i="19" s="1"/>
  <c r="U74" i="19"/>
  <c r="U80" i="19"/>
  <c r="T80" i="19"/>
  <c r="L80" i="19" s="1"/>
  <c r="T94" i="19"/>
  <c r="L94" i="19" s="1"/>
  <c r="U94" i="19"/>
  <c r="T100" i="19"/>
  <c r="L100" i="19" s="1"/>
  <c r="U100" i="19"/>
  <c r="T114" i="19"/>
  <c r="L114" i="19" s="1"/>
  <c r="U114" i="19"/>
  <c r="U64" i="19"/>
  <c r="T64" i="19"/>
  <c r="L64" i="19" s="1"/>
  <c r="T84" i="19"/>
  <c r="U84" i="19"/>
  <c r="T110" i="19"/>
  <c r="L110" i="19" s="1"/>
  <c r="U110" i="19"/>
  <c r="T21" i="19"/>
  <c r="L21" i="19" s="1"/>
  <c r="U21" i="19"/>
  <c r="T57" i="19"/>
  <c r="L57" i="19" s="1"/>
  <c r="U57" i="19"/>
  <c r="T71" i="19"/>
  <c r="U71" i="19"/>
  <c r="T91" i="19"/>
  <c r="L91" i="19" s="1"/>
  <c r="U91" i="19"/>
  <c r="T25" i="19"/>
  <c r="L25" i="19" s="1"/>
  <c r="U25" i="19"/>
  <c r="T31" i="19"/>
  <c r="L31" i="19" s="1"/>
  <c r="U31" i="19"/>
  <c r="T46" i="19"/>
  <c r="L46" i="19" s="1"/>
  <c r="U46" i="19"/>
  <c r="U53" i="19"/>
  <c r="T53" i="19"/>
  <c r="L53" i="19" s="1"/>
  <c r="T61" i="19"/>
  <c r="L61" i="19" s="1"/>
  <c r="U61" i="19"/>
  <c r="T68" i="19"/>
  <c r="L68" i="19" s="1"/>
  <c r="U68" i="19"/>
  <c r="T75" i="19"/>
  <c r="L75" i="19" s="1"/>
  <c r="U75" i="19"/>
  <c r="T81" i="19"/>
  <c r="L81" i="19" s="1"/>
  <c r="U81" i="19"/>
  <c r="U88" i="19"/>
  <c r="T88" i="19"/>
  <c r="L88" i="19" s="1"/>
  <c r="T95" i="19"/>
  <c r="U95" i="19"/>
  <c r="U101" i="19"/>
  <c r="T101" i="19"/>
  <c r="L101" i="19" s="1"/>
  <c r="T108" i="19"/>
  <c r="L108" i="19" s="1"/>
  <c r="U108" i="19"/>
  <c r="T115" i="19"/>
  <c r="U115" i="19"/>
  <c r="T41" i="19"/>
  <c r="L41" i="19" s="1"/>
  <c r="U41" i="19"/>
  <c r="T98" i="19"/>
  <c r="L98" i="19" s="1"/>
  <c r="U98" i="19"/>
  <c r="T18" i="19"/>
  <c r="U18" i="19"/>
  <c r="T26" i="19"/>
  <c r="L26" i="19" s="1"/>
  <c r="U26" i="19"/>
  <c r="U32" i="19"/>
  <c r="T32" i="19"/>
  <c r="L32" i="19" s="1"/>
  <c r="T39" i="19"/>
  <c r="L39" i="19" s="1"/>
  <c r="U39" i="19"/>
  <c r="T47" i="19"/>
  <c r="L47" i="19" s="1"/>
  <c r="U47" i="19"/>
  <c r="T54" i="19"/>
  <c r="L54" i="19" s="1"/>
  <c r="U54" i="19"/>
  <c r="U62" i="19"/>
  <c r="L62" i="19" s="1"/>
  <c r="T62" i="19"/>
  <c r="T76" i="19"/>
  <c r="L76" i="19" s="1"/>
  <c r="U76" i="19"/>
  <c r="T82" i="19"/>
  <c r="U82" i="19"/>
  <c r="U96" i="19"/>
  <c r="T96" i="19"/>
  <c r="L96" i="19" s="1"/>
  <c r="T102" i="19"/>
  <c r="L102" i="19" s="1"/>
  <c r="U102" i="19"/>
  <c r="T116" i="19"/>
  <c r="L116" i="19" s="1"/>
  <c r="U116" i="19"/>
  <c r="U104" i="19"/>
  <c r="L104" i="19" s="1"/>
  <c r="T104" i="19"/>
  <c r="T28" i="19"/>
  <c r="L28" i="19" s="1"/>
  <c r="U28" i="19"/>
  <c r="T49" i="19"/>
  <c r="U49" i="19"/>
  <c r="T65" i="19"/>
  <c r="L65" i="19" s="1"/>
  <c r="U65" i="19"/>
  <c r="T85" i="19"/>
  <c r="L85" i="19" s="1"/>
  <c r="U85" i="19"/>
  <c r="T111" i="19"/>
  <c r="L111" i="19" s="1"/>
  <c r="U111" i="19"/>
  <c r="T19" i="19"/>
  <c r="L19" i="19" s="1"/>
  <c r="U19" i="19"/>
  <c r="T27" i="19"/>
  <c r="U27" i="19"/>
  <c r="T33" i="19"/>
  <c r="L33" i="19" s="1"/>
  <c r="U33" i="19"/>
  <c r="U40" i="19"/>
  <c r="L40" i="19" s="1"/>
  <c r="T40" i="19"/>
  <c r="U48" i="19"/>
  <c r="T48" i="19"/>
  <c r="L48" i="19" s="1"/>
  <c r="T55" i="19"/>
  <c r="L55" i="19" s="1"/>
  <c r="U55" i="19"/>
  <c r="T63" i="19"/>
  <c r="L63" i="19" s="1"/>
  <c r="U63" i="19"/>
  <c r="U69" i="19"/>
  <c r="T69" i="19"/>
  <c r="L69" i="19" s="1"/>
  <c r="U77" i="19"/>
  <c r="T77" i="19"/>
  <c r="L77" i="19" s="1"/>
  <c r="T83" i="19"/>
  <c r="L83" i="19" s="1"/>
  <c r="U83" i="19"/>
  <c r="T89" i="19"/>
  <c r="L89" i="19" s="1"/>
  <c r="U89" i="19"/>
  <c r="T97" i="19"/>
  <c r="L97" i="19" s="1"/>
  <c r="U97" i="19"/>
  <c r="T103" i="19"/>
  <c r="L103" i="19" s="1"/>
  <c r="U103" i="19"/>
  <c r="U109" i="19"/>
  <c r="T109" i="19"/>
  <c r="L109" i="19" s="1"/>
  <c r="T117" i="19"/>
  <c r="U117" i="19"/>
  <c r="U23" i="19"/>
  <c r="T23" i="19"/>
  <c r="L23" i="19" s="1"/>
  <c r="I89" i="32"/>
  <c r="I37" i="33"/>
  <c r="I57" i="33"/>
  <c r="I43" i="30"/>
  <c r="I96" i="30"/>
  <c r="I74" i="30"/>
  <c r="I101" i="30"/>
  <c r="I70" i="31"/>
  <c r="I22" i="31"/>
  <c r="I43" i="31"/>
  <c r="I102" i="31"/>
  <c r="I83" i="31"/>
  <c r="I36" i="32"/>
  <c r="I21" i="32"/>
  <c r="I58" i="32"/>
  <c r="I90" i="32"/>
  <c r="I109" i="32"/>
  <c r="L109" i="32" s="1"/>
  <c r="I117" i="32"/>
  <c r="L117" i="32" s="1"/>
  <c r="I41" i="31"/>
  <c r="I98" i="32"/>
  <c r="I48" i="30"/>
  <c r="J48" i="30" s="1"/>
  <c r="I112" i="30"/>
  <c r="J112" i="30" s="1"/>
  <c r="I81" i="30"/>
  <c r="I79" i="30"/>
  <c r="I19" i="31"/>
  <c r="I68" i="31"/>
  <c r="I73" i="32"/>
  <c r="L73" i="32" s="1"/>
  <c r="I80" i="30"/>
  <c r="I100" i="30"/>
  <c r="I30" i="31"/>
  <c r="I41" i="32"/>
  <c r="I19" i="30"/>
  <c r="J19" i="30" s="1"/>
  <c r="I25" i="30"/>
  <c r="I44" i="30"/>
  <c r="I56" i="30"/>
  <c r="I78" i="31"/>
  <c r="I116" i="31"/>
  <c r="I22" i="32"/>
  <c r="B265" i="29"/>
  <c r="I54" i="30"/>
  <c r="I56" i="31"/>
  <c r="I34" i="30"/>
  <c r="I46" i="31"/>
  <c r="K46" i="31" s="1"/>
  <c r="I33" i="31"/>
  <c r="K33" i="31" s="1"/>
  <c r="I102" i="32"/>
  <c r="I80" i="32"/>
  <c r="I28" i="33"/>
  <c r="I110" i="33"/>
  <c r="I101" i="31"/>
  <c r="I85" i="31"/>
  <c r="I34" i="32"/>
  <c r="L34" i="32" s="1"/>
  <c r="I111" i="32"/>
  <c r="I48" i="33"/>
  <c r="I25" i="33"/>
  <c r="I52" i="33"/>
  <c r="I101" i="33"/>
  <c r="I68" i="33"/>
  <c r="M68" i="33" s="1"/>
  <c r="I106" i="33"/>
  <c r="I105" i="34"/>
  <c r="I30" i="34"/>
  <c r="I32" i="32"/>
  <c r="I74" i="32"/>
  <c r="I105" i="32"/>
  <c r="I34" i="33"/>
  <c r="I44" i="33"/>
  <c r="I21" i="33"/>
  <c r="M21" i="33" s="1"/>
  <c r="M21" i="34" s="1"/>
  <c r="I65" i="33"/>
  <c r="I54" i="33"/>
  <c r="M54" i="33" s="1"/>
  <c r="M54" i="34" s="1"/>
  <c r="I92" i="32"/>
  <c r="I69" i="33"/>
  <c r="C111" i="29"/>
  <c r="B163" i="29"/>
  <c r="B5" i="29"/>
  <c r="B58" i="29"/>
  <c r="B461" i="29"/>
  <c r="B111" i="29"/>
  <c r="B363" i="29"/>
  <c r="D412" i="29"/>
  <c r="C363" i="29"/>
  <c r="B412" i="29"/>
  <c r="B314" i="29"/>
  <c r="E314" i="29"/>
  <c r="B356" i="29"/>
  <c r="E258" i="29"/>
  <c r="M31" i="33"/>
  <c r="M31" i="34" s="1"/>
  <c r="N75" i="34"/>
  <c r="E212" i="29"/>
  <c r="I35" i="31"/>
  <c r="I91" i="32"/>
  <c r="F412" i="29"/>
  <c r="I55" i="30"/>
  <c r="I55" i="32"/>
  <c r="I55" i="33"/>
  <c r="I35" i="34"/>
  <c r="I55" i="34"/>
  <c r="C5" i="29"/>
  <c r="D205" i="29"/>
  <c r="I55" i="31"/>
  <c r="K55" i="31" s="1"/>
  <c r="I35" i="32"/>
  <c r="I35" i="33"/>
  <c r="M35" i="33" s="1"/>
  <c r="M35" i="34" s="1"/>
  <c r="I98" i="31"/>
  <c r="I80" i="33"/>
  <c r="I116" i="34"/>
  <c r="I80" i="31"/>
  <c r="K80" i="31" s="1"/>
  <c r="I64" i="32"/>
  <c r="I46" i="33"/>
  <c r="I64" i="33"/>
  <c r="M64" i="33" s="1"/>
  <c r="M64" i="34" s="1"/>
  <c r="I100" i="33"/>
  <c r="I46" i="34"/>
  <c r="E111" i="29"/>
  <c r="I99" i="30"/>
  <c r="I87" i="30"/>
  <c r="I39" i="30"/>
  <c r="I107" i="33"/>
  <c r="I99" i="33"/>
  <c r="I87" i="33"/>
  <c r="M87" i="33" s="1"/>
  <c r="M87" i="34" s="1"/>
  <c r="I79" i="33"/>
  <c r="I107" i="31"/>
  <c r="I99" i="31"/>
  <c r="K99" i="31" s="1"/>
  <c r="I79" i="31"/>
  <c r="I59" i="31"/>
  <c r="I109" i="30"/>
  <c r="I97" i="30"/>
  <c r="I77" i="30"/>
  <c r="I57" i="30"/>
  <c r="I49" i="30"/>
  <c r="I37" i="30"/>
  <c r="I77" i="32"/>
  <c r="I69" i="32"/>
  <c r="I57" i="32"/>
  <c r="L57" i="32" s="1"/>
  <c r="I37" i="32"/>
  <c r="L37" i="32" s="1"/>
  <c r="I29" i="32"/>
  <c r="I107" i="34"/>
  <c r="I99" i="34"/>
  <c r="I87" i="34"/>
  <c r="I67" i="34"/>
  <c r="I39" i="34"/>
  <c r="I27" i="34"/>
  <c r="I39" i="33"/>
  <c r="I27" i="33"/>
  <c r="I109" i="34"/>
  <c r="I97" i="34"/>
  <c r="I89" i="34"/>
  <c r="I77" i="34"/>
  <c r="I69" i="34"/>
  <c r="I57" i="34"/>
  <c r="I37" i="34"/>
  <c r="I97" i="31"/>
  <c r="K97" i="31" s="1"/>
  <c r="I37" i="31"/>
  <c r="K37" i="31" s="1"/>
  <c r="I107" i="32"/>
  <c r="L107" i="32" s="1"/>
  <c r="I99" i="32"/>
  <c r="I87" i="32"/>
  <c r="I67" i="32"/>
  <c r="I59" i="32"/>
  <c r="I47" i="32"/>
  <c r="I39" i="32"/>
  <c r="A161" i="29"/>
  <c r="B205" i="29"/>
  <c r="F205" i="29"/>
  <c r="C258" i="29"/>
  <c r="B405" i="29"/>
  <c r="C205" i="29"/>
  <c r="E205" i="29"/>
  <c r="B258" i="29"/>
  <c r="F258" i="29"/>
  <c r="D258" i="29"/>
  <c r="E307" i="29"/>
  <c r="C307" i="29"/>
  <c r="D356" i="29"/>
  <c r="F356" i="29"/>
  <c r="E503" i="29"/>
  <c r="F503" i="29"/>
  <c r="G49" i="8"/>
  <c r="H47" i="8"/>
  <c r="M24" i="8"/>
  <c r="K28" i="8"/>
  <c r="K20" i="8"/>
  <c r="G24" i="8"/>
  <c r="J28" i="8"/>
  <c r="D47" i="8"/>
  <c r="N47" i="8"/>
  <c r="H48" i="8"/>
  <c r="H24" i="8"/>
  <c r="D56" i="29"/>
  <c r="A312" i="29"/>
  <c r="B361" i="29"/>
  <c r="N111" i="34"/>
  <c r="B263" i="29"/>
  <c r="B459" i="29"/>
  <c r="D161" i="29"/>
  <c r="A263" i="29"/>
  <c r="K29" i="8"/>
  <c r="M21" i="8"/>
  <c r="D410" i="29"/>
  <c r="D210" i="29"/>
  <c r="B3" i="29"/>
  <c r="D312" i="29"/>
  <c r="D109" i="29"/>
  <c r="F2" i="1"/>
  <c r="I2" i="8" s="1"/>
  <c r="A3" i="29"/>
  <c r="A410" i="29"/>
  <c r="A361" i="29"/>
  <c r="D361" i="29"/>
  <c r="B161" i="29"/>
  <c r="D459" i="29"/>
  <c r="D263" i="29"/>
  <c r="B56" i="29"/>
  <c r="A20" i="8"/>
  <c r="A109" i="29"/>
  <c r="A56" i="29"/>
  <c r="A459" i="29"/>
  <c r="B312" i="29"/>
  <c r="B109" i="29"/>
  <c r="B410" i="29"/>
  <c r="B210" i="29"/>
  <c r="D3" i="29"/>
  <c r="A210" i="29"/>
  <c r="F111" i="29"/>
  <c r="D212" i="29"/>
  <c r="F461" i="29"/>
  <c r="F314" i="29"/>
  <c r="D314" i="29"/>
  <c r="C212" i="29"/>
  <c r="E58" i="29"/>
  <c r="E461" i="29"/>
  <c r="C265" i="29"/>
  <c r="E163" i="29"/>
  <c r="D461" i="29"/>
  <c r="F363" i="29"/>
  <c r="F212" i="29"/>
  <c r="F58" i="29"/>
  <c r="F163" i="29"/>
  <c r="E412" i="29"/>
  <c r="D163" i="29"/>
  <c r="C58" i="29"/>
  <c r="E5" i="29"/>
  <c r="C314" i="29"/>
  <c r="F265" i="29"/>
  <c r="F5" i="29"/>
  <c r="C412" i="29"/>
  <c r="E363" i="29"/>
  <c r="D265" i="29"/>
  <c r="D111" i="29"/>
  <c r="D5" i="29"/>
  <c r="D363" i="29"/>
  <c r="C163" i="29"/>
  <c r="C461" i="29"/>
  <c r="E265" i="29"/>
  <c r="D58" i="29"/>
  <c r="M49" i="8"/>
  <c r="L49" i="8"/>
  <c r="K49" i="8"/>
  <c r="F405" i="29"/>
  <c r="C454" i="29"/>
  <c r="B503" i="29"/>
  <c r="D503" i="29"/>
  <c r="F49" i="8"/>
  <c r="I49" i="8"/>
  <c r="F156" i="29"/>
  <c r="I43" i="8"/>
  <c r="M47" i="8"/>
  <c r="M28" i="8"/>
  <c r="G20" i="8"/>
  <c r="F47" i="8"/>
  <c r="N24" i="8"/>
  <c r="K24" i="8"/>
  <c r="G47" i="8"/>
  <c r="N28" i="8"/>
  <c r="K48" i="8"/>
  <c r="J20" i="8"/>
  <c r="K46" i="8"/>
  <c r="I28" i="8"/>
  <c r="I24" i="8"/>
  <c r="D43" i="8"/>
  <c r="L43" i="8"/>
  <c r="L47" i="8"/>
  <c r="J43" i="8"/>
  <c r="F28" i="8"/>
  <c r="F24" i="8"/>
  <c r="G43" i="8"/>
  <c r="G28" i="8"/>
  <c r="K43" i="8"/>
  <c r="I47" i="8"/>
  <c r="M43" i="8"/>
  <c r="M20" i="8"/>
  <c r="I20" i="8"/>
  <c r="K47" i="8"/>
  <c r="L20" i="8"/>
  <c r="F43" i="8"/>
  <c r="H20" i="8"/>
  <c r="G46" i="8"/>
  <c r="G25" i="8"/>
  <c r="M48" i="8"/>
  <c r="G44" i="8"/>
  <c r="I48" i="8"/>
  <c r="F48" i="8"/>
  <c r="J29" i="8"/>
  <c r="D20" i="8"/>
  <c r="G48" i="8"/>
  <c r="L48" i="8"/>
  <c r="L44" i="8"/>
  <c r="D48" i="8"/>
  <c r="J48" i="8"/>
  <c r="D44" i="8"/>
  <c r="F25" i="8"/>
  <c r="A220" i="29"/>
  <c r="B68" i="19" s="1"/>
  <c r="A424" i="29"/>
  <c r="B156" i="29"/>
  <c r="F23" i="8"/>
  <c r="H23" i="8"/>
  <c r="J27" i="8"/>
  <c r="L27" i="8"/>
  <c r="H49" i="8"/>
  <c r="J49" i="8"/>
  <c r="D49" i="8"/>
  <c r="A119" i="29"/>
  <c r="E43" i="19" s="1"/>
  <c r="P43" i="19" s="1"/>
  <c r="A66" i="29"/>
  <c r="C33" i="19" s="1"/>
  <c r="N33" i="19" s="1"/>
  <c r="C356" i="29"/>
  <c r="A13" i="29"/>
  <c r="B24" i="19" s="1"/>
  <c r="E156" i="29"/>
  <c r="D156" i="29"/>
  <c r="F46" i="8"/>
  <c r="H42" i="8"/>
  <c r="F307" i="29"/>
  <c r="D307" i="29"/>
  <c r="E356" i="29"/>
  <c r="E454" i="29"/>
  <c r="D405" i="29"/>
  <c r="E405" i="29"/>
  <c r="C405" i="29"/>
  <c r="B454" i="29"/>
  <c r="F454" i="29"/>
  <c r="H26" i="8"/>
  <c r="J26" i="8"/>
  <c r="L26" i="8"/>
  <c r="M26" i="8"/>
  <c r="I26" i="8"/>
  <c r="K26" i="8"/>
  <c r="G26" i="8"/>
  <c r="N41" i="8"/>
  <c r="D41" i="8"/>
  <c r="L41" i="8"/>
  <c r="F41" i="8"/>
  <c r="H41" i="8"/>
  <c r="M41" i="8"/>
  <c r="M50" i="8" s="1"/>
  <c r="G41" i="8"/>
  <c r="G50" i="8" s="1"/>
  <c r="J41" i="8"/>
  <c r="L22" i="8"/>
  <c r="D22" i="8"/>
  <c r="F22" i="8"/>
  <c r="H22" i="8"/>
  <c r="G22" i="8"/>
  <c r="K22" i="8"/>
  <c r="M22" i="8"/>
  <c r="I22" i="8"/>
  <c r="F45" i="8"/>
  <c r="N45" i="8"/>
  <c r="I45" i="8"/>
  <c r="H45" i="8"/>
  <c r="J45" i="8"/>
  <c r="D45" i="8"/>
  <c r="L45" i="8"/>
  <c r="M45" i="8"/>
  <c r="K45" i="8"/>
  <c r="G45" i="8"/>
  <c r="I41" i="8"/>
  <c r="I50" i="8" s="1"/>
  <c r="A322" i="29"/>
  <c r="F88" i="19" s="1"/>
  <c r="Q88" i="19" s="1"/>
  <c r="A469" i="29"/>
  <c r="D122" i="19" s="1"/>
  <c r="O122" i="19" s="1"/>
  <c r="A273" i="29"/>
  <c r="F74" i="19" s="1"/>
  <c r="C156" i="29"/>
  <c r="B307" i="29"/>
  <c r="D454" i="29"/>
  <c r="K42" i="8"/>
  <c r="I23" i="8"/>
  <c r="I27" i="8"/>
  <c r="K25" i="8"/>
  <c r="G42" i="8"/>
  <c r="K44" i="8"/>
  <c r="I21" i="8"/>
  <c r="H44" i="8"/>
  <c r="L42" i="8"/>
  <c r="D42" i="8"/>
  <c r="F29" i="8"/>
  <c r="H27" i="8"/>
  <c r="J25" i="8"/>
  <c r="L23" i="8"/>
  <c r="D23" i="8"/>
  <c r="H21" i="8"/>
  <c r="F21" i="8"/>
  <c r="G29" i="8"/>
  <c r="G27" i="8"/>
  <c r="I25" i="8"/>
  <c r="M27" i="8"/>
  <c r="I44" i="8"/>
  <c r="M23" i="8"/>
  <c r="K21" i="8"/>
  <c r="G21" i="8"/>
  <c r="F44" i="8"/>
  <c r="J42" i="8"/>
  <c r="D29" i="8"/>
  <c r="F27" i="8"/>
  <c r="H25" i="8"/>
  <c r="J23" i="8"/>
  <c r="J22" i="8"/>
  <c r="J21" i="8"/>
  <c r="L29" i="8"/>
  <c r="H28" i="8"/>
  <c r="N22" i="8"/>
  <c r="D26" i="8"/>
  <c r="D21" i="8"/>
  <c r="J24" i="8"/>
  <c r="N21" i="8"/>
  <c r="N23" i="8"/>
  <c r="N25" i="8"/>
  <c r="N27" i="8"/>
  <c r="N29" i="8"/>
  <c r="N42" i="8"/>
  <c r="N44" i="8"/>
  <c r="M42" i="8"/>
  <c r="I42" i="8"/>
  <c r="I29" i="8"/>
  <c r="K27" i="8"/>
  <c r="M29" i="8"/>
  <c r="M25" i="8"/>
  <c r="M44" i="8"/>
  <c r="K23" i="8"/>
  <c r="G23" i="8"/>
  <c r="L25" i="8"/>
  <c r="H43" i="8"/>
  <c r="L28" i="8"/>
  <c r="N26" i="8"/>
  <c r="F20" i="8"/>
  <c r="D24" i="8"/>
  <c r="F26" i="8"/>
  <c r="M46" i="8"/>
  <c r="L46" i="8"/>
  <c r="I46" i="8"/>
  <c r="J46" i="8"/>
  <c r="D46" i="8"/>
  <c r="H46" i="8"/>
  <c r="I3" i="28"/>
  <c r="G3" i="28"/>
  <c r="H3" i="28"/>
  <c r="E3" i="28"/>
  <c r="F3" i="28"/>
  <c r="D3" i="28"/>
  <c r="C3" i="28"/>
  <c r="I4" i="28"/>
  <c r="H4" i="28"/>
  <c r="D4" i="28"/>
  <c r="E4" i="28"/>
  <c r="G4" i="28"/>
  <c r="F4" i="28"/>
  <c r="C4" i="28"/>
  <c r="C97" i="19" l="1"/>
  <c r="N97" i="19" s="1"/>
  <c r="K100" i="31"/>
  <c r="K65" i="31"/>
  <c r="K64" i="31"/>
  <c r="I60" i="32"/>
  <c r="L30" i="32"/>
  <c r="N25" i="34"/>
  <c r="N85" i="34"/>
  <c r="K85" i="31"/>
  <c r="J44" i="30"/>
  <c r="K101" i="31"/>
  <c r="J77" i="30"/>
  <c r="J77" i="32" s="1"/>
  <c r="L55" i="32"/>
  <c r="K78" i="31"/>
  <c r="K78" i="34" s="1"/>
  <c r="M65" i="33"/>
  <c r="M65" i="34" s="1"/>
  <c r="N105" i="34"/>
  <c r="M101" i="33"/>
  <c r="M101" i="34" s="1"/>
  <c r="J37" i="30"/>
  <c r="J99" i="30"/>
  <c r="J99" i="31" s="1"/>
  <c r="N116" i="34"/>
  <c r="J101" i="30"/>
  <c r="K107" i="31"/>
  <c r="K107" i="34" s="1"/>
  <c r="M69" i="33"/>
  <c r="M69" i="34" s="1"/>
  <c r="L22" i="32"/>
  <c r="L22" i="34" s="1"/>
  <c r="M44" i="33"/>
  <c r="M44" i="34" s="1"/>
  <c r="L89" i="32"/>
  <c r="M34" i="33"/>
  <c r="M34" i="34" s="1"/>
  <c r="K70" i="31"/>
  <c r="K70" i="33" s="1"/>
  <c r="N63" i="34"/>
  <c r="N54" i="34"/>
  <c r="N74" i="34"/>
  <c r="N43" i="34"/>
  <c r="N81" i="34"/>
  <c r="N46" i="34"/>
  <c r="L105" i="32"/>
  <c r="L105" i="33" s="1"/>
  <c r="L47" i="32"/>
  <c r="L47" i="33" s="1"/>
  <c r="M25" i="33"/>
  <c r="M25" i="34" s="1"/>
  <c r="L21" i="32"/>
  <c r="L21" i="34" s="1"/>
  <c r="L113" i="32"/>
  <c r="L113" i="33" s="1"/>
  <c r="L100" i="32"/>
  <c r="L100" i="33" s="1"/>
  <c r="L87" i="32"/>
  <c r="L87" i="34" s="1"/>
  <c r="K59" i="31"/>
  <c r="L64" i="32"/>
  <c r="L64" i="34" s="1"/>
  <c r="K102" i="31"/>
  <c r="K102" i="33" s="1"/>
  <c r="M57" i="33"/>
  <c r="M57" i="34" s="1"/>
  <c r="L90" i="32"/>
  <c r="L103" i="32"/>
  <c r="L103" i="33" s="1"/>
  <c r="L112" i="32"/>
  <c r="L112" i="33" s="1"/>
  <c r="L70" i="32"/>
  <c r="L70" i="34" s="1"/>
  <c r="L101" i="32"/>
  <c r="M46" i="33"/>
  <c r="M46" i="34" s="1"/>
  <c r="J109" i="30"/>
  <c r="J109" i="34" s="1"/>
  <c r="M52" i="33"/>
  <c r="M52" i="34" s="1"/>
  <c r="L41" i="32"/>
  <c r="L41" i="34" s="1"/>
  <c r="K24" i="31"/>
  <c r="K24" i="32" s="1"/>
  <c r="L59" i="32"/>
  <c r="L67" i="32"/>
  <c r="L67" i="34" s="1"/>
  <c r="K98" i="31"/>
  <c r="K98" i="33" s="1"/>
  <c r="L81" i="32"/>
  <c r="L69" i="32"/>
  <c r="L77" i="32"/>
  <c r="L77" i="34" s="1"/>
  <c r="M55" i="33"/>
  <c r="M55" i="34" s="1"/>
  <c r="L32" i="32"/>
  <c r="L32" i="33" s="1"/>
  <c r="J100" i="30"/>
  <c r="J100" i="33" s="1"/>
  <c r="L99" i="32"/>
  <c r="L99" i="33" s="1"/>
  <c r="J43" i="30"/>
  <c r="J43" i="34" s="1"/>
  <c r="I51" i="32"/>
  <c r="L51" i="32" s="1"/>
  <c r="L51" i="33" s="1"/>
  <c r="I115" i="32"/>
  <c r="L102" i="32"/>
  <c r="M89" i="33"/>
  <c r="M89" i="34" s="1"/>
  <c r="M96" i="33"/>
  <c r="M96" i="34" s="1"/>
  <c r="M102" i="33"/>
  <c r="M102" i="34" s="1"/>
  <c r="M110" i="33"/>
  <c r="M110" i="34" s="1"/>
  <c r="L91" i="32"/>
  <c r="L92" i="32"/>
  <c r="K68" i="31"/>
  <c r="K68" i="33" s="1"/>
  <c r="K43" i="31"/>
  <c r="K43" i="34" s="1"/>
  <c r="M37" i="33"/>
  <c r="M37" i="34" s="1"/>
  <c r="L80" i="32"/>
  <c r="L111" i="32"/>
  <c r="L48" i="32"/>
  <c r="K103" i="31"/>
  <c r="K103" i="32" s="1"/>
  <c r="K76" i="31"/>
  <c r="K89" i="31"/>
  <c r="K89" i="33" s="1"/>
  <c r="N78" i="34"/>
  <c r="N47" i="34"/>
  <c r="N100" i="34"/>
  <c r="N59" i="34"/>
  <c r="J33" i="30"/>
  <c r="J33" i="32" s="1"/>
  <c r="J111" i="30"/>
  <c r="J111" i="32" s="1"/>
  <c r="J58" i="30"/>
  <c r="J89" i="30"/>
  <c r="J89" i="31" s="1"/>
  <c r="J63" i="30"/>
  <c r="J63" i="31" s="1"/>
  <c r="J24" i="30"/>
  <c r="J24" i="31" s="1"/>
  <c r="J113" i="30"/>
  <c r="J113" i="32" s="1"/>
  <c r="J23" i="30"/>
  <c r="J23" i="31" s="1"/>
  <c r="M99" i="33"/>
  <c r="M99" i="34" s="1"/>
  <c r="M107" i="33"/>
  <c r="M107" i="34" s="1"/>
  <c r="L74" i="32"/>
  <c r="J74" i="30"/>
  <c r="J74" i="32" s="1"/>
  <c r="J87" i="30"/>
  <c r="J87" i="31" s="1"/>
  <c r="L36" i="32"/>
  <c r="L36" i="34" s="1"/>
  <c r="M80" i="33"/>
  <c r="M80" i="34" s="1"/>
  <c r="K56" i="31"/>
  <c r="K56" i="32" s="1"/>
  <c r="L35" i="32"/>
  <c r="L35" i="34" s="1"/>
  <c r="J55" i="30"/>
  <c r="J55" i="34" s="1"/>
  <c r="M48" i="33"/>
  <c r="J81" i="30"/>
  <c r="J81" i="32" s="1"/>
  <c r="L58" i="32"/>
  <c r="L58" i="34" s="1"/>
  <c r="J57" i="30"/>
  <c r="J57" i="33" s="1"/>
  <c r="M79" i="33"/>
  <c r="M79" i="34" s="1"/>
  <c r="D81" i="19"/>
  <c r="O81" i="19" s="1"/>
  <c r="E108" i="19"/>
  <c r="P108" i="19" s="1"/>
  <c r="F31" i="19"/>
  <c r="Q31" i="19" s="1"/>
  <c r="F32" i="19"/>
  <c r="Q32" i="19" s="1"/>
  <c r="C96" i="19"/>
  <c r="N96" i="19" s="1"/>
  <c r="C35" i="19"/>
  <c r="N35" i="19" s="1"/>
  <c r="M70" i="33"/>
  <c r="M70" i="34" s="1"/>
  <c r="N103" i="34"/>
  <c r="N65" i="34"/>
  <c r="N33" i="34"/>
  <c r="N110" i="34"/>
  <c r="N48" i="34"/>
  <c r="N88" i="34"/>
  <c r="N101" i="34"/>
  <c r="N70" i="34"/>
  <c r="N34" i="34"/>
  <c r="N92" i="34"/>
  <c r="I95" i="34"/>
  <c r="N95" i="34" s="1"/>
  <c r="N102" i="34"/>
  <c r="I115" i="34"/>
  <c r="I84" i="34"/>
  <c r="N84" i="34" s="1"/>
  <c r="N45" i="34"/>
  <c r="N31" i="34"/>
  <c r="N22" i="34"/>
  <c r="N76" i="34"/>
  <c r="N50" i="34"/>
  <c r="N90" i="34"/>
  <c r="I60" i="34"/>
  <c r="J92" i="30"/>
  <c r="J92" i="33" s="1"/>
  <c r="J20" i="30"/>
  <c r="J20" i="31" s="1"/>
  <c r="J53" i="30"/>
  <c r="J53" i="31" s="1"/>
  <c r="J75" i="30"/>
  <c r="J75" i="34" s="1"/>
  <c r="K96" i="31"/>
  <c r="K96" i="34" s="1"/>
  <c r="K86" i="31"/>
  <c r="K86" i="34" s="1"/>
  <c r="K74" i="31"/>
  <c r="K74" i="33" s="1"/>
  <c r="L46" i="32"/>
  <c r="L88" i="32"/>
  <c r="L88" i="34" s="1"/>
  <c r="L72" i="32"/>
  <c r="O72" i="32" s="1"/>
  <c r="L79" i="32"/>
  <c r="L79" i="33" s="1"/>
  <c r="L61" i="32"/>
  <c r="L61" i="34" s="1"/>
  <c r="I49" i="33"/>
  <c r="M19" i="33"/>
  <c r="M19" i="34" s="1"/>
  <c r="I51" i="33"/>
  <c r="N36" i="34"/>
  <c r="I82" i="34"/>
  <c r="I51" i="34"/>
  <c r="N51" i="34" s="1"/>
  <c r="N19" i="34"/>
  <c r="J52" i="30"/>
  <c r="J52" i="31" s="1"/>
  <c r="J41" i="30"/>
  <c r="J41" i="32" s="1"/>
  <c r="J107" i="30"/>
  <c r="J107" i="32" s="1"/>
  <c r="J76" i="30"/>
  <c r="J76" i="31" s="1"/>
  <c r="J108" i="30"/>
  <c r="I104" i="31"/>
  <c r="M41" i="33"/>
  <c r="M41" i="34" s="1"/>
  <c r="I117" i="33"/>
  <c r="M53" i="33"/>
  <c r="M53" i="34" s="1"/>
  <c r="I82" i="33"/>
  <c r="M77" i="33"/>
  <c r="M77" i="34" s="1"/>
  <c r="M91" i="33"/>
  <c r="M91" i="34" s="1"/>
  <c r="M98" i="33"/>
  <c r="M108" i="33"/>
  <c r="M108" i="34" s="1"/>
  <c r="N80" i="34"/>
  <c r="N96" i="34"/>
  <c r="N94" i="34"/>
  <c r="N64" i="34"/>
  <c r="N32" i="34"/>
  <c r="N86" i="34"/>
  <c r="N23" i="34"/>
  <c r="K109" i="31"/>
  <c r="K109" i="34" s="1"/>
  <c r="K77" i="31"/>
  <c r="K77" i="33" s="1"/>
  <c r="K92" i="31"/>
  <c r="K92" i="33" s="1"/>
  <c r="K58" i="31"/>
  <c r="K58" i="32" s="1"/>
  <c r="K91" i="31"/>
  <c r="K91" i="32" s="1"/>
  <c r="L53" i="32"/>
  <c r="L53" i="33" s="1"/>
  <c r="L23" i="32"/>
  <c r="L23" i="34" s="1"/>
  <c r="L96" i="32"/>
  <c r="L24" i="32"/>
  <c r="L24" i="34" s="1"/>
  <c r="L85" i="32"/>
  <c r="I62" i="32"/>
  <c r="L62" i="32" s="1"/>
  <c r="O62" i="32" s="1"/>
  <c r="M81" i="33"/>
  <c r="M81" i="34" s="1"/>
  <c r="M36" i="33"/>
  <c r="M36" i="34" s="1"/>
  <c r="M76" i="33"/>
  <c r="M76" i="34" s="1"/>
  <c r="N77" i="34"/>
  <c r="N112" i="34"/>
  <c r="N61" i="34"/>
  <c r="N83" i="34"/>
  <c r="N20" i="34"/>
  <c r="N97" i="34"/>
  <c r="J91" i="30"/>
  <c r="J91" i="33" s="1"/>
  <c r="I51" i="30"/>
  <c r="J21" i="30"/>
  <c r="J21" i="31" s="1"/>
  <c r="J69" i="30"/>
  <c r="J69" i="32" s="1"/>
  <c r="J59" i="30"/>
  <c r="J59" i="34" s="1"/>
  <c r="I29" i="30"/>
  <c r="J35" i="30"/>
  <c r="J35" i="34" s="1"/>
  <c r="J68" i="30"/>
  <c r="J68" i="31" s="1"/>
  <c r="J36" i="30"/>
  <c r="J36" i="33" s="1"/>
  <c r="J67" i="30"/>
  <c r="J67" i="32" s="1"/>
  <c r="K88" i="31"/>
  <c r="K88" i="32" s="1"/>
  <c r="K53" i="31"/>
  <c r="K53" i="32" s="1"/>
  <c r="K21" i="31"/>
  <c r="K21" i="34" s="1"/>
  <c r="K110" i="31"/>
  <c r="K110" i="34" s="1"/>
  <c r="K66" i="31"/>
  <c r="K66" i="32" s="1"/>
  <c r="K42" i="31"/>
  <c r="K42" i="33" s="1"/>
  <c r="K90" i="31"/>
  <c r="K90" i="34" s="1"/>
  <c r="L97" i="32"/>
  <c r="L97" i="34" s="1"/>
  <c r="L94" i="32"/>
  <c r="L94" i="34" s="1"/>
  <c r="L65" i="32"/>
  <c r="L65" i="34" s="1"/>
  <c r="L63" i="32"/>
  <c r="L33" i="32"/>
  <c r="L33" i="33" s="1"/>
  <c r="M97" i="33"/>
  <c r="M97" i="34" s="1"/>
  <c r="M42" i="33"/>
  <c r="M42" i="34" s="1"/>
  <c r="M67" i="33"/>
  <c r="M67" i="34" s="1"/>
  <c r="M66" i="33"/>
  <c r="M66" i="34" s="1"/>
  <c r="M109" i="33"/>
  <c r="M109" i="34" s="1"/>
  <c r="M47" i="33"/>
  <c r="M47" i="34" s="1"/>
  <c r="M75" i="33"/>
  <c r="M75" i="34" s="1"/>
  <c r="M58" i="33"/>
  <c r="M58" i="34" s="1"/>
  <c r="M74" i="33"/>
  <c r="M74" i="34" s="1"/>
  <c r="M30" i="33"/>
  <c r="M30" i="34" s="1"/>
  <c r="K41" i="31"/>
  <c r="K41" i="34" s="1"/>
  <c r="N99" i="34"/>
  <c r="N52" i="34"/>
  <c r="N67" i="34"/>
  <c r="M92" i="33"/>
  <c r="M92" i="34" s="1"/>
  <c r="I60" i="33"/>
  <c r="M22" i="33"/>
  <c r="M22" i="34" s="1"/>
  <c r="M43" i="33"/>
  <c r="M43" i="34" s="1"/>
  <c r="M85" i="33"/>
  <c r="M85" i="34" s="1"/>
  <c r="M45" i="33"/>
  <c r="M45" i="34" s="1"/>
  <c r="J97" i="30"/>
  <c r="J97" i="33" s="1"/>
  <c r="J86" i="30"/>
  <c r="J86" i="31" s="1"/>
  <c r="J65" i="30"/>
  <c r="J65" i="33" s="1"/>
  <c r="J90" i="30"/>
  <c r="J90" i="34" s="1"/>
  <c r="K54" i="31"/>
  <c r="K54" i="34" s="1"/>
  <c r="N108" i="34"/>
  <c r="N114" i="34"/>
  <c r="N58" i="34"/>
  <c r="J32" i="30"/>
  <c r="J32" i="31" s="1"/>
  <c r="J54" i="30"/>
  <c r="J54" i="31" s="1"/>
  <c r="N26" i="34"/>
  <c r="N87" i="34"/>
  <c r="N109" i="34"/>
  <c r="N69" i="34"/>
  <c r="N91" i="34"/>
  <c r="I106" i="34"/>
  <c r="N106" i="34" s="1"/>
  <c r="N44" i="34"/>
  <c r="N66" i="34"/>
  <c r="N89" i="34"/>
  <c r="J85" i="30"/>
  <c r="J85" i="31" s="1"/>
  <c r="J45" i="30"/>
  <c r="J45" i="31" s="1"/>
  <c r="J88" i="30"/>
  <c r="J88" i="31" s="1"/>
  <c r="K112" i="31"/>
  <c r="K112" i="34" s="1"/>
  <c r="K45" i="31"/>
  <c r="K45" i="34" s="1"/>
  <c r="K75" i="31"/>
  <c r="K75" i="32" s="1"/>
  <c r="K44" i="31"/>
  <c r="K44" i="33" s="1"/>
  <c r="K34" i="31"/>
  <c r="K34" i="32" s="1"/>
  <c r="K114" i="31"/>
  <c r="K114" i="33" s="1"/>
  <c r="L45" i="32"/>
  <c r="L45" i="33" s="1"/>
  <c r="L56" i="32"/>
  <c r="L56" i="34" s="1"/>
  <c r="L31" i="32"/>
  <c r="L31" i="34" s="1"/>
  <c r="M26" i="33"/>
  <c r="M26" i="34" s="1"/>
  <c r="N55" i="34"/>
  <c r="K35" i="31"/>
  <c r="K35" i="32" s="1"/>
  <c r="J79" i="30"/>
  <c r="J79" i="34" s="1"/>
  <c r="K63" i="31"/>
  <c r="K63" i="32" s="1"/>
  <c r="K67" i="31"/>
  <c r="K36" i="31"/>
  <c r="K36" i="33" s="1"/>
  <c r="K31" i="31"/>
  <c r="K31" i="32" s="1"/>
  <c r="K57" i="31"/>
  <c r="K57" i="32" s="1"/>
  <c r="K25" i="31"/>
  <c r="K25" i="32" s="1"/>
  <c r="I71" i="31"/>
  <c r="K32" i="31"/>
  <c r="K32" i="34" s="1"/>
  <c r="L114" i="33"/>
  <c r="L44" i="32"/>
  <c r="L44" i="34" s="1"/>
  <c r="L76" i="32"/>
  <c r="L76" i="33" s="1"/>
  <c r="L75" i="32"/>
  <c r="L75" i="33" s="1"/>
  <c r="M112" i="33"/>
  <c r="M112" i="34" s="1"/>
  <c r="M56" i="33"/>
  <c r="M56" i="34" s="1"/>
  <c r="M88" i="33"/>
  <c r="M88" i="34" s="1"/>
  <c r="M113" i="33"/>
  <c r="M113" i="34" s="1"/>
  <c r="M24" i="33"/>
  <c r="M24" i="34" s="1"/>
  <c r="M20" i="33"/>
  <c r="M20" i="34" s="1"/>
  <c r="M23" i="33"/>
  <c r="M23" i="34" s="1"/>
  <c r="K79" i="31"/>
  <c r="K79" i="32" s="1"/>
  <c r="M100" i="33"/>
  <c r="M100" i="34" s="1"/>
  <c r="N35" i="34"/>
  <c r="N79" i="34"/>
  <c r="N98" i="34"/>
  <c r="N68" i="34"/>
  <c r="N113" i="34"/>
  <c r="J66" i="30"/>
  <c r="J66" i="33" s="1"/>
  <c r="J78" i="30"/>
  <c r="J110" i="30"/>
  <c r="J110" i="32" s="1"/>
  <c r="J70" i="30"/>
  <c r="J70" i="31" s="1"/>
  <c r="K69" i="31"/>
  <c r="K69" i="34" s="1"/>
  <c r="K87" i="31"/>
  <c r="K87" i="33" s="1"/>
  <c r="K23" i="31"/>
  <c r="K23" i="33" s="1"/>
  <c r="L43" i="32"/>
  <c r="L43" i="34" s="1"/>
  <c r="L83" i="32"/>
  <c r="L83" i="33" s="1"/>
  <c r="L20" i="32"/>
  <c r="L20" i="34" s="1"/>
  <c r="L54" i="32"/>
  <c r="L54" i="34" s="1"/>
  <c r="L86" i="32"/>
  <c r="L86" i="34" s="1"/>
  <c r="L19" i="32"/>
  <c r="L19" i="34" s="1"/>
  <c r="L108" i="32"/>
  <c r="L108" i="33" s="1"/>
  <c r="M111" i="33"/>
  <c r="M111" i="34" s="1"/>
  <c r="M90" i="33"/>
  <c r="M90" i="34" s="1"/>
  <c r="M103" i="33"/>
  <c r="M103" i="34" s="1"/>
  <c r="M86" i="33"/>
  <c r="M86" i="34" s="1"/>
  <c r="J34" i="30"/>
  <c r="J34" i="31" s="1"/>
  <c r="J80" i="30"/>
  <c r="J80" i="33" s="1"/>
  <c r="J96" i="30"/>
  <c r="J96" i="33" s="1"/>
  <c r="N57" i="34"/>
  <c r="N37" i="34"/>
  <c r="J56" i="30"/>
  <c r="J56" i="31" s="1"/>
  <c r="L98" i="32"/>
  <c r="L98" i="33" s="1"/>
  <c r="N107" i="34"/>
  <c r="J47" i="30"/>
  <c r="J47" i="31" s="1"/>
  <c r="J98" i="30"/>
  <c r="J98" i="31" s="1"/>
  <c r="I71" i="30"/>
  <c r="J46" i="30"/>
  <c r="J46" i="31" s="1"/>
  <c r="J64" i="30"/>
  <c r="J64" i="31" s="1"/>
  <c r="J31" i="30"/>
  <c r="J31" i="31" s="1"/>
  <c r="J103" i="30"/>
  <c r="J103" i="31" s="1"/>
  <c r="J114" i="30"/>
  <c r="J114" i="32" s="1"/>
  <c r="J102" i="30"/>
  <c r="J102" i="34" s="1"/>
  <c r="I62" i="30"/>
  <c r="J42" i="30"/>
  <c r="J42" i="32" s="1"/>
  <c r="J22" i="30"/>
  <c r="J22" i="34" s="1"/>
  <c r="K111" i="31"/>
  <c r="K111" i="33" s="1"/>
  <c r="K52" i="31"/>
  <c r="K20" i="31"/>
  <c r="K20" i="34" s="1"/>
  <c r="K108" i="31"/>
  <c r="K113" i="31"/>
  <c r="K113" i="32" s="1"/>
  <c r="K47" i="31"/>
  <c r="K47" i="34" s="1"/>
  <c r="K48" i="31"/>
  <c r="K48" i="32" s="1"/>
  <c r="K81" i="31"/>
  <c r="K81" i="32" s="1"/>
  <c r="L68" i="32"/>
  <c r="L68" i="33" s="1"/>
  <c r="L52" i="32"/>
  <c r="L66" i="32"/>
  <c r="L66" i="33" s="1"/>
  <c r="L110" i="32"/>
  <c r="L110" i="33" s="1"/>
  <c r="L78" i="32"/>
  <c r="L78" i="34" s="1"/>
  <c r="L42" i="32"/>
  <c r="L42" i="33" s="1"/>
  <c r="L116" i="32"/>
  <c r="O116" i="32" s="1"/>
  <c r="M114" i="33"/>
  <c r="M114" i="34" s="1"/>
  <c r="M63" i="33"/>
  <c r="M63" i="34" s="1"/>
  <c r="M78" i="33"/>
  <c r="I38" i="33"/>
  <c r="M59" i="33"/>
  <c r="M59" i="34" s="1"/>
  <c r="J108" i="31"/>
  <c r="J108" i="32"/>
  <c r="J108" i="34"/>
  <c r="J108" i="33"/>
  <c r="K97" i="32"/>
  <c r="K97" i="34"/>
  <c r="K97" i="33"/>
  <c r="J37" i="31"/>
  <c r="J37" i="32"/>
  <c r="J37" i="34"/>
  <c r="J37" i="33"/>
  <c r="M68" i="34"/>
  <c r="K85" i="34"/>
  <c r="K85" i="33"/>
  <c r="K85" i="32"/>
  <c r="K46" i="34"/>
  <c r="K46" i="32"/>
  <c r="K46" i="33"/>
  <c r="J112" i="31"/>
  <c r="J112" i="32"/>
  <c r="J112" i="34"/>
  <c r="J112" i="33"/>
  <c r="E111" i="19"/>
  <c r="P111" i="19" s="1"/>
  <c r="D22" i="19"/>
  <c r="O22" i="19" s="1"/>
  <c r="D99" i="19"/>
  <c r="O99" i="19" s="1"/>
  <c r="B100" i="19"/>
  <c r="M100" i="19" s="1"/>
  <c r="C107" i="19"/>
  <c r="N107" i="19" s="1"/>
  <c r="L57" i="34"/>
  <c r="L57" i="33"/>
  <c r="J107" i="31"/>
  <c r="L107" i="34"/>
  <c r="L107" i="33"/>
  <c r="L55" i="33"/>
  <c r="L55" i="34"/>
  <c r="L30" i="34"/>
  <c r="L30" i="33"/>
  <c r="K99" i="32"/>
  <c r="K99" i="34"/>
  <c r="K99" i="33"/>
  <c r="L105" i="34"/>
  <c r="K101" i="34"/>
  <c r="K101" i="33"/>
  <c r="K101" i="32"/>
  <c r="J48" i="31"/>
  <c r="J48" i="32"/>
  <c r="J48" i="34"/>
  <c r="J48" i="33"/>
  <c r="E112" i="19"/>
  <c r="P112" i="19" s="1"/>
  <c r="J26" i="34"/>
  <c r="J26" i="31"/>
  <c r="J26" i="33"/>
  <c r="J26" i="32"/>
  <c r="J69" i="31"/>
  <c r="K53" i="34"/>
  <c r="D65" i="19"/>
  <c r="O65" i="19" s="1"/>
  <c r="B98" i="19"/>
  <c r="M98" i="19" s="1"/>
  <c r="E96" i="19"/>
  <c r="P96" i="19" s="1"/>
  <c r="L109" i="34"/>
  <c r="L109" i="33"/>
  <c r="K59" i="32"/>
  <c r="K59" i="34"/>
  <c r="K59" i="33"/>
  <c r="K55" i="32"/>
  <c r="K55" i="34"/>
  <c r="K55" i="33"/>
  <c r="K33" i="32"/>
  <c r="K33" i="33"/>
  <c r="K33" i="34"/>
  <c r="L46" i="34"/>
  <c r="L46" i="33"/>
  <c r="J99" i="32"/>
  <c r="L74" i="34"/>
  <c r="L74" i="33"/>
  <c r="O73" i="32"/>
  <c r="L73" i="33"/>
  <c r="L73" i="34"/>
  <c r="B114" i="19"/>
  <c r="M114" i="19" s="1"/>
  <c r="J86" i="33"/>
  <c r="K76" i="33"/>
  <c r="K76" i="32"/>
  <c r="K76" i="34"/>
  <c r="K100" i="33"/>
  <c r="K100" i="32"/>
  <c r="K100" i="34"/>
  <c r="K65" i="32"/>
  <c r="K65" i="34"/>
  <c r="K65" i="33"/>
  <c r="K64" i="32"/>
  <c r="K64" i="34"/>
  <c r="K64" i="33"/>
  <c r="E63" i="19"/>
  <c r="P63" i="19" s="1"/>
  <c r="B99" i="19"/>
  <c r="M99" i="19" s="1"/>
  <c r="E100" i="19"/>
  <c r="P100" i="19" s="1"/>
  <c r="D107" i="19"/>
  <c r="O107" i="19" s="1"/>
  <c r="M48" i="34"/>
  <c r="K80" i="32"/>
  <c r="K80" i="34"/>
  <c r="K80" i="33"/>
  <c r="K70" i="34"/>
  <c r="K98" i="34"/>
  <c r="L34" i="34"/>
  <c r="L34" i="33"/>
  <c r="J101" i="31"/>
  <c r="J101" i="32"/>
  <c r="J101" i="34"/>
  <c r="J101" i="33"/>
  <c r="J44" i="31"/>
  <c r="J44" i="32"/>
  <c r="J44" i="34"/>
  <c r="J44" i="33"/>
  <c r="N72" i="34"/>
  <c r="N41" i="34"/>
  <c r="N56" i="34"/>
  <c r="N24" i="34"/>
  <c r="N53" i="34"/>
  <c r="N21" i="34"/>
  <c r="K114" i="34"/>
  <c r="L26" i="32"/>
  <c r="F69" i="19"/>
  <c r="Q69" i="19" s="1"/>
  <c r="D96" i="19"/>
  <c r="O96" i="19" s="1"/>
  <c r="F99" i="19"/>
  <c r="Q99" i="19" s="1"/>
  <c r="E107" i="19"/>
  <c r="P107" i="19" s="1"/>
  <c r="L99" i="34"/>
  <c r="C67" i="19"/>
  <c r="L89" i="34"/>
  <c r="L89" i="33"/>
  <c r="J110" i="31"/>
  <c r="J110" i="34"/>
  <c r="K37" i="34"/>
  <c r="K37" i="33"/>
  <c r="K37" i="32"/>
  <c r="M98" i="34"/>
  <c r="F109" i="19"/>
  <c r="Q109" i="19" s="1"/>
  <c r="L87" i="33"/>
  <c r="L37" i="34"/>
  <c r="L37" i="33"/>
  <c r="O117" i="32"/>
  <c r="L117" i="33"/>
  <c r="L117" i="34"/>
  <c r="J58" i="34"/>
  <c r="J58" i="31"/>
  <c r="J58" i="33"/>
  <c r="J58" i="32"/>
  <c r="K57" i="34"/>
  <c r="D67" i="19"/>
  <c r="O67" i="19" s="1"/>
  <c r="F98" i="19"/>
  <c r="Q98" i="19" s="1"/>
  <c r="F97" i="19"/>
  <c r="Q97" i="19" s="1"/>
  <c r="F107" i="19"/>
  <c r="Q107" i="19" s="1"/>
  <c r="M96" i="19"/>
  <c r="M68" i="19"/>
  <c r="M55" i="19"/>
  <c r="E81" i="19"/>
  <c r="P81" i="19" s="1"/>
  <c r="B112" i="19"/>
  <c r="M112" i="19" s="1"/>
  <c r="B111" i="19"/>
  <c r="M111" i="19" s="1"/>
  <c r="E113" i="19"/>
  <c r="P113" i="19" s="1"/>
  <c r="E21" i="19"/>
  <c r="D30" i="19"/>
  <c r="O30" i="19" s="1"/>
  <c r="F19" i="19"/>
  <c r="B124" i="19"/>
  <c r="D124" i="19"/>
  <c r="O124" i="19" s="1"/>
  <c r="D123" i="19"/>
  <c r="O123" i="19" s="1"/>
  <c r="C120" i="19"/>
  <c r="N120" i="19" s="1"/>
  <c r="B121" i="19"/>
  <c r="B35" i="19"/>
  <c r="D31" i="19"/>
  <c r="O31" i="19" s="1"/>
  <c r="C34" i="19"/>
  <c r="N34" i="19" s="1"/>
  <c r="F23" i="19"/>
  <c r="F70" i="19"/>
  <c r="Q70" i="19" s="1"/>
  <c r="E66" i="19"/>
  <c r="P66" i="19" s="1"/>
  <c r="C68" i="19"/>
  <c r="N68" i="19" s="1"/>
  <c r="B65" i="19"/>
  <c r="B69" i="19"/>
  <c r="E19" i="19"/>
  <c r="P19" i="19" s="1"/>
  <c r="B97" i="19"/>
  <c r="D19" i="19"/>
  <c r="O19" i="19" s="1"/>
  <c r="D44" i="19"/>
  <c r="O44" i="19" s="1"/>
  <c r="D42" i="19"/>
  <c r="O42" i="19" s="1"/>
  <c r="D46" i="19"/>
  <c r="O46" i="19" s="1"/>
  <c r="E48" i="19"/>
  <c r="P48" i="19" s="1"/>
  <c r="F46" i="19"/>
  <c r="Q46" i="19" s="1"/>
  <c r="E20" i="19"/>
  <c r="P20" i="19" s="1"/>
  <c r="F77" i="19"/>
  <c r="Q77" i="19" s="1"/>
  <c r="D79" i="19"/>
  <c r="O79" i="19" s="1"/>
  <c r="D77" i="19"/>
  <c r="O77" i="19" s="1"/>
  <c r="D24" i="19"/>
  <c r="O24" i="19" s="1"/>
  <c r="D108" i="19"/>
  <c r="O108" i="19" s="1"/>
  <c r="B33" i="19"/>
  <c r="D25" i="19"/>
  <c r="O25" i="19" s="1"/>
  <c r="F86" i="19"/>
  <c r="Q86" i="19" s="1"/>
  <c r="D90" i="19"/>
  <c r="O90" i="19" s="1"/>
  <c r="C90" i="19"/>
  <c r="N90" i="19" s="1"/>
  <c r="E87" i="19"/>
  <c r="P87" i="19" s="1"/>
  <c r="F56" i="19"/>
  <c r="Q56" i="19" s="1"/>
  <c r="D59" i="19"/>
  <c r="O59" i="19" s="1"/>
  <c r="F59" i="19"/>
  <c r="Q59" i="19" s="1"/>
  <c r="B56" i="19"/>
  <c r="E54" i="19"/>
  <c r="P54" i="19" s="1"/>
  <c r="E119" i="19"/>
  <c r="P119" i="19" s="1"/>
  <c r="F121" i="19"/>
  <c r="Q121" i="19" s="1"/>
  <c r="F45" i="19"/>
  <c r="Q45" i="19" s="1"/>
  <c r="E47" i="19"/>
  <c r="P47" i="19" s="1"/>
  <c r="B46" i="19"/>
  <c r="F48" i="19"/>
  <c r="Q48" i="19" s="1"/>
  <c r="E78" i="19"/>
  <c r="P78" i="19" s="1"/>
  <c r="E75" i="19"/>
  <c r="P75" i="19" s="1"/>
  <c r="D76" i="19"/>
  <c r="O76" i="19" s="1"/>
  <c r="B75" i="19"/>
  <c r="B23" i="19"/>
  <c r="M23" i="19" s="1"/>
  <c r="C110" i="19"/>
  <c r="N110" i="19" s="1"/>
  <c r="D110" i="19"/>
  <c r="O110" i="19" s="1"/>
  <c r="C24" i="19"/>
  <c r="F26" i="19"/>
  <c r="Q26" i="19" s="1"/>
  <c r="E88" i="19"/>
  <c r="P88" i="19" s="1"/>
  <c r="D87" i="19"/>
  <c r="O87" i="19" s="1"/>
  <c r="C88" i="19"/>
  <c r="N88" i="19" s="1"/>
  <c r="C25" i="19"/>
  <c r="N25" i="19" s="1"/>
  <c r="D55" i="19"/>
  <c r="O55" i="19" s="1"/>
  <c r="D56" i="19"/>
  <c r="O56" i="19" s="1"/>
  <c r="C56" i="19"/>
  <c r="N56" i="19" s="1"/>
  <c r="C54" i="19"/>
  <c r="N54" i="19" s="1"/>
  <c r="E57" i="19"/>
  <c r="P57" i="19" s="1"/>
  <c r="F119" i="19"/>
  <c r="Q119" i="19" s="1"/>
  <c r="B122" i="19"/>
  <c r="C124" i="19"/>
  <c r="N124" i="19" s="1"/>
  <c r="E46" i="19"/>
  <c r="P46" i="19" s="1"/>
  <c r="D80" i="19"/>
  <c r="O80" i="19" s="1"/>
  <c r="C112" i="19"/>
  <c r="N112" i="19" s="1"/>
  <c r="C113" i="19"/>
  <c r="N113" i="19" s="1"/>
  <c r="B22" i="19"/>
  <c r="M22" i="19" s="1"/>
  <c r="C30" i="19"/>
  <c r="F118" i="19"/>
  <c r="E122" i="19"/>
  <c r="P122" i="19" s="1"/>
  <c r="F123" i="19"/>
  <c r="Q123" i="19" s="1"/>
  <c r="C121" i="19"/>
  <c r="N121" i="19" s="1"/>
  <c r="E32" i="19"/>
  <c r="P32" i="19" s="1"/>
  <c r="C37" i="19"/>
  <c r="N37" i="19" s="1"/>
  <c r="B34" i="19"/>
  <c r="B31" i="19"/>
  <c r="C21" i="19"/>
  <c r="N21" i="19" s="1"/>
  <c r="C70" i="19"/>
  <c r="N70" i="19" s="1"/>
  <c r="D68" i="19"/>
  <c r="O68" i="19" s="1"/>
  <c r="F64" i="19"/>
  <c r="Q64" i="19" s="1"/>
  <c r="E68" i="19"/>
  <c r="P68" i="19" s="1"/>
  <c r="E64" i="19"/>
  <c r="P64" i="19" s="1"/>
  <c r="D98" i="19"/>
  <c r="E42" i="19"/>
  <c r="P42" i="19" s="1"/>
  <c r="B45" i="19"/>
  <c r="F44" i="19"/>
  <c r="Q44" i="19" s="1"/>
  <c r="B48" i="19"/>
  <c r="C45" i="19"/>
  <c r="N45" i="19" s="1"/>
  <c r="F79" i="19"/>
  <c r="Q79" i="19" s="1"/>
  <c r="F76" i="19"/>
  <c r="Q76" i="19" s="1"/>
  <c r="E74" i="19"/>
  <c r="P74" i="19" s="1"/>
  <c r="B76" i="19"/>
  <c r="F21" i="19"/>
  <c r="Q21" i="19" s="1"/>
  <c r="E109" i="19"/>
  <c r="P109" i="19" s="1"/>
  <c r="D21" i="19"/>
  <c r="O21" i="19" s="1"/>
  <c r="E26" i="19"/>
  <c r="D88" i="19"/>
  <c r="O88" i="19" s="1"/>
  <c r="F90" i="19"/>
  <c r="Q90" i="19" s="1"/>
  <c r="B87" i="19"/>
  <c r="B85" i="19"/>
  <c r="B57" i="19"/>
  <c r="B54" i="19"/>
  <c r="F54" i="19"/>
  <c r="Q54" i="19" s="1"/>
  <c r="F57" i="19"/>
  <c r="Q57" i="19" s="1"/>
  <c r="E53" i="19"/>
  <c r="P53" i="19" s="1"/>
  <c r="C80" i="19"/>
  <c r="N80" i="19" s="1"/>
  <c r="C114" i="19"/>
  <c r="N114" i="19" s="1"/>
  <c r="E114" i="19"/>
  <c r="P114" i="19" s="1"/>
  <c r="E118" i="19"/>
  <c r="D125" i="19"/>
  <c r="O125" i="19" s="1"/>
  <c r="E120" i="19"/>
  <c r="P120" i="19" s="1"/>
  <c r="C123" i="19"/>
  <c r="N123" i="19" s="1"/>
  <c r="D34" i="19"/>
  <c r="O34" i="19" s="1"/>
  <c r="F30" i="19"/>
  <c r="D35" i="19"/>
  <c r="O35" i="19" s="1"/>
  <c r="E36" i="19"/>
  <c r="P36" i="19" s="1"/>
  <c r="E22" i="19"/>
  <c r="P22" i="19" s="1"/>
  <c r="B63" i="19"/>
  <c r="B64" i="19"/>
  <c r="D66" i="19"/>
  <c r="O66" i="19" s="1"/>
  <c r="C69" i="19"/>
  <c r="N69" i="19" s="1"/>
  <c r="D70" i="19"/>
  <c r="O70" i="19" s="1"/>
  <c r="E33" i="19"/>
  <c r="P33" i="19" s="1"/>
  <c r="D43" i="19"/>
  <c r="O43" i="19" s="1"/>
  <c r="C41" i="19"/>
  <c r="B41" i="19"/>
  <c r="B42" i="19"/>
  <c r="E45" i="19"/>
  <c r="P45" i="19" s="1"/>
  <c r="D33" i="19"/>
  <c r="O33" i="19" s="1"/>
  <c r="B77" i="19"/>
  <c r="F78" i="19"/>
  <c r="Q78" i="19" s="1"/>
  <c r="D74" i="19"/>
  <c r="O74" i="19" s="1"/>
  <c r="C74" i="19"/>
  <c r="N74" i="19" s="1"/>
  <c r="B19" i="19"/>
  <c r="E110" i="19"/>
  <c r="P110" i="19" s="1"/>
  <c r="C108" i="19"/>
  <c r="N108" i="19" s="1"/>
  <c r="C20" i="19"/>
  <c r="N20" i="19" s="1"/>
  <c r="D26" i="19"/>
  <c r="E85" i="19"/>
  <c r="P85" i="19" s="1"/>
  <c r="E89" i="19"/>
  <c r="P89" i="19" s="1"/>
  <c r="B89" i="19"/>
  <c r="M53" i="19"/>
  <c r="B80" i="19"/>
  <c r="M80" i="19" s="1"/>
  <c r="F111" i="19"/>
  <c r="Q111" i="19" s="1"/>
  <c r="F113" i="19"/>
  <c r="Q113" i="19" s="1"/>
  <c r="C19" i="19"/>
  <c r="N19" i="19" s="1"/>
  <c r="B30" i="19"/>
  <c r="M30" i="19" s="1"/>
  <c r="E124" i="19"/>
  <c r="P124" i="19" s="1"/>
  <c r="C118" i="19"/>
  <c r="B125" i="19"/>
  <c r="B123" i="19"/>
  <c r="B120" i="19"/>
  <c r="F33" i="19"/>
  <c r="Q33" i="19" s="1"/>
  <c r="F35" i="19"/>
  <c r="Q35" i="19" s="1"/>
  <c r="C31" i="19"/>
  <c r="N31" i="19" s="1"/>
  <c r="F34" i="19"/>
  <c r="Q34" i="19" s="1"/>
  <c r="D120" i="19"/>
  <c r="O120" i="19" s="1"/>
  <c r="F67" i="19"/>
  <c r="C66" i="19"/>
  <c r="N66" i="19" s="1"/>
  <c r="E65" i="19"/>
  <c r="P65" i="19" s="1"/>
  <c r="B67" i="19"/>
  <c r="F63" i="19"/>
  <c r="Q63" i="19" s="1"/>
  <c r="F96" i="19"/>
  <c r="Q96" i="19" s="1"/>
  <c r="C32" i="19"/>
  <c r="N32" i="19" s="1"/>
  <c r="D41" i="19"/>
  <c r="B43" i="19"/>
  <c r="F43" i="19"/>
  <c r="Q43" i="19" s="1"/>
  <c r="C46" i="19"/>
  <c r="N46" i="19" s="1"/>
  <c r="E41" i="19"/>
  <c r="B32" i="19"/>
  <c r="C75" i="19"/>
  <c r="N75" i="19" s="1"/>
  <c r="B79" i="19"/>
  <c r="C79" i="19"/>
  <c r="N79" i="19" s="1"/>
  <c r="C77" i="19"/>
  <c r="N77" i="19" s="1"/>
  <c r="F108" i="19"/>
  <c r="Q108" i="19" s="1"/>
  <c r="C109" i="19"/>
  <c r="N109" i="19" s="1"/>
  <c r="F110" i="19"/>
  <c r="Q110" i="19" s="1"/>
  <c r="B26" i="19"/>
  <c r="D85" i="19"/>
  <c r="O85" i="19" s="1"/>
  <c r="C86" i="19"/>
  <c r="N86" i="19" s="1"/>
  <c r="B86" i="19"/>
  <c r="F85" i="19"/>
  <c r="Q85" i="19" s="1"/>
  <c r="E55" i="19"/>
  <c r="P55" i="19" s="1"/>
  <c r="E59" i="19"/>
  <c r="P59" i="19" s="1"/>
  <c r="F52" i="19"/>
  <c r="Q52" i="19" s="1"/>
  <c r="D58" i="19"/>
  <c r="O58" i="19" s="1"/>
  <c r="D52" i="19"/>
  <c r="O52" i="19" s="1"/>
  <c r="D121" i="19"/>
  <c r="O121" i="19" s="1"/>
  <c r="B81" i="19"/>
  <c r="M81" i="19" s="1"/>
  <c r="F80" i="19"/>
  <c r="Q80" i="19" s="1"/>
  <c r="D112" i="19"/>
  <c r="O112" i="19" s="1"/>
  <c r="F112" i="19"/>
  <c r="Q112" i="19" s="1"/>
  <c r="B118" i="19"/>
  <c r="B119" i="19"/>
  <c r="C122" i="19"/>
  <c r="N122" i="19" s="1"/>
  <c r="F122" i="19"/>
  <c r="Q122" i="19" s="1"/>
  <c r="C125" i="19"/>
  <c r="N125" i="19" s="1"/>
  <c r="D37" i="19"/>
  <c r="O37" i="19" s="1"/>
  <c r="E31" i="19"/>
  <c r="P31" i="19" s="1"/>
  <c r="F36" i="19"/>
  <c r="Q36" i="19" s="1"/>
  <c r="F37" i="19"/>
  <c r="Q37" i="19" s="1"/>
  <c r="C63" i="19"/>
  <c r="N63" i="19" s="1"/>
  <c r="B66" i="19"/>
  <c r="F65" i="19"/>
  <c r="Q65" i="19" s="1"/>
  <c r="F68" i="19"/>
  <c r="Q68" i="19" s="1"/>
  <c r="C64" i="19"/>
  <c r="N64" i="19" s="1"/>
  <c r="D32" i="19"/>
  <c r="O32" i="19" s="1"/>
  <c r="F24" i="19"/>
  <c r="Q24" i="19" s="1"/>
  <c r="C43" i="19"/>
  <c r="N43" i="19" s="1"/>
  <c r="F47" i="19"/>
  <c r="Q47" i="19" s="1"/>
  <c r="C47" i="19"/>
  <c r="N47" i="19" s="1"/>
  <c r="D47" i="19"/>
  <c r="O47" i="19" s="1"/>
  <c r="E44" i="19"/>
  <c r="P44" i="19" s="1"/>
  <c r="B78" i="19"/>
  <c r="C76" i="19"/>
  <c r="N76" i="19" s="1"/>
  <c r="E76" i="19"/>
  <c r="P76" i="19" s="1"/>
  <c r="F75" i="19"/>
  <c r="Q75" i="19" s="1"/>
  <c r="B109" i="19"/>
  <c r="F25" i="19"/>
  <c r="Q25" i="19" s="1"/>
  <c r="E86" i="19"/>
  <c r="P86" i="19" s="1"/>
  <c r="C87" i="19"/>
  <c r="N87" i="19" s="1"/>
  <c r="B90" i="19"/>
  <c r="C89" i="19"/>
  <c r="N89" i="19" s="1"/>
  <c r="C57" i="19"/>
  <c r="N57" i="19" s="1"/>
  <c r="E56" i="19"/>
  <c r="P56" i="19" s="1"/>
  <c r="F55" i="19"/>
  <c r="Q55" i="19" s="1"/>
  <c r="C52" i="19"/>
  <c r="B52" i="19"/>
  <c r="F22" i="19"/>
  <c r="Q22" i="19" s="1"/>
  <c r="F81" i="19"/>
  <c r="Q81" i="19" s="1"/>
  <c r="E80" i="19"/>
  <c r="P80" i="19" s="1"/>
  <c r="C111" i="19"/>
  <c r="B113" i="19"/>
  <c r="M113" i="19" s="1"/>
  <c r="D113" i="19"/>
  <c r="O113" i="19" s="1"/>
  <c r="D20" i="19"/>
  <c r="O20" i="19" s="1"/>
  <c r="E30" i="19"/>
  <c r="P30" i="19" s="1"/>
  <c r="D119" i="19"/>
  <c r="O119" i="19" s="1"/>
  <c r="D118" i="19"/>
  <c r="F125" i="19"/>
  <c r="Q125" i="19" s="1"/>
  <c r="E121" i="19"/>
  <c r="P121" i="19" s="1"/>
  <c r="E125" i="19"/>
  <c r="P125" i="19" s="1"/>
  <c r="B36" i="19"/>
  <c r="B37" i="19"/>
  <c r="E34" i="19"/>
  <c r="P34" i="19" s="1"/>
  <c r="D36" i="19"/>
  <c r="O36" i="19" s="1"/>
  <c r="E67" i="19"/>
  <c r="P67" i="19" s="1"/>
  <c r="E70" i="19"/>
  <c r="P70" i="19" s="1"/>
  <c r="D69" i="19"/>
  <c r="O69" i="19" s="1"/>
  <c r="E69" i="19"/>
  <c r="P69" i="19" s="1"/>
  <c r="B70" i="19"/>
  <c r="E23" i="19"/>
  <c r="P23" i="19" s="1"/>
  <c r="C100" i="19"/>
  <c r="N100" i="19" s="1"/>
  <c r="C99" i="19"/>
  <c r="N99" i="19" s="1"/>
  <c r="D97" i="19"/>
  <c r="O97" i="19" s="1"/>
  <c r="D23" i="19"/>
  <c r="O23" i="19" s="1"/>
  <c r="B47" i="19"/>
  <c r="C48" i="19"/>
  <c r="N48" i="19" s="1"/>
  <c r="B44" i="19"/>
  <c r="D45" i="19"/>
  <c r="O45" i="19" s="1"/>
  <c r="F41" i="19"/>
  <c r="E24" i="19"/>
  <c r="P24" i="19" s="1"/>
  <c r="D75" i="19"/>
  <c r="O75" i="19" s="1"/>
  <c r="D78" i="19"/>
  <c r="O78" i="19" s="1"/>
  <c r="E77" i="19"/>
  <c r="P77" i="19" s="1"/>
  <c r="C78" i="19"/>
  <c r="N78" i="19" s="1"/>
  <c r="B108" i="19"/>
  <c r="B110" i="19"/>
  <c r="E25" i="19"/>
  <c r="P25" i="19" s="1"/>
  <c r="B88" i="19"/>
  <c r="D89" i="19"/>
  <c r="O89" i="19" s="1"/>
  <c r="F87" i="19"/>
  <c r="Q87" i="19" s="1"/>
  <c r="E90" i="19"/>
  <c r="P90" i="19" s="1"/>
  <c r="D57" i="19"/>
  <c r="O57" i="19" s="1"/>
  <c r="C55" i="19"/>
  <c r="N55" i="19" s="1"/>
  <c r="E52" i="19"/>
  <c r="P52" i="19" s="1"/>
  <c r="B58" i="19"/>
  <c r="B59" i="19"/>
  <c r="C81" i="19"/>
  <c r="N81" i="19" s="1"/>
  <c r="B91" i="19"/>
  <c r="M91" i="19" s="1"/>
  <c r="D111" i="19"/>
  <c r="O111" i="19" s="1"/>
  <c r="D114" i="19"/>
  <c r="O114" i="19" s="1"/>
  <c r="F114" i="19"/>
  <c r="Q114" i="19" s="1"/>
  <c r="F124" i="19"/>
  <c r="Q124" i="19" s="1"/>
  <c r="C119" i="19"/>
  <c r="N119" i="19" s="1"/>
  <c r="F120" i="19"/>
  <c r="Q120" i="19" s="1"/>
  <c r="E123" i="19"/>
  <c r="P123" i="19" s="1"/>
  <c r="E37" i="19"/>
  <c r="P37" i="19" s="1"/>
  <c r="C36" i="19"/>
  <c r="N36" i="19" s="1"/>
  <c r="E35" i="19"/>
  <c r="P35" i="19" s="1"/>
  <c r="B25" i="19"/>
  <c r="M25" i="19" s="1"/>
  <c r="F66" i="19"/>
  <c r="Q66" i="19" s="1"/>
  <c r="C65" i="19"/>
  <c r="N65" i="19" s="1"/>
  <c r="D63" i="19"/>
  <c r="O63" i="19" s="1"/>
  <c r="D64" i="19"/>
  <c r="O64" i="19" s="1"/>
  <c r="C22" i="19"/>
  <c r="N22" i="19" s="1"/>
  <c r="E97" i="19"/>
  <c r="P97" i="19" s="1"/>
  <c r="F20" i="19"/>
  <c r="Q20" i="19" s="1"/>
  <c r="D48" i="19"/>
  <c r="O48" i="19" s="1"/>
  <c r="C44" i="19"/>
  <c r="N44" i="19" s="1"/>
  <c r="C42" i="19"/>
  <c r="N42" i="19" s="1"/>
  <c r="F42" i="19"/>
  <c r="Q42" i="19" s="1"/>
  <c r="C23" i="19"/>
  <c r="N23" i="19" s="1"/>
  <c r="E79" i="19"/>
  <c r="P79" i="19" s="1"/>
  <c r="B74" i="19"/>
  <c r="D109" i="19"/>
  <c r="O109" i="19" s="1"/>
  <c r="C26" i="19"/>
  <c r="C85" i="19"/>
  <c r="N85" i="19" s="1"/>
  <c r="D86" i="19"/>
  <c r="O86" i="19" s="1"/>
  <c r="F89" i="19"/>
  <c r="Q89" i="19" s="1"/>
  <c r="F58" i="19"/>
  <c r="Q58" i="19" s="1"/>
  <c r="C53" i="19"/>
  <c r="N53" i="19" s="1"/>
  <c r="C58" i="19"/>
  <c r="N58" i="19" s="1"/>
  <c r="C59" i="19"/>
  <c r="N59" i="19" s="1"/>
  <c r="B20" i="19"/>
  <c r="M20" i="19" s="1"/>
  <c r="I104" i="33"/>
  <c r="M33" i="33"/>
  <c r="M33" i="34" s="1"/>
  <c r="I95" i="33"/>
  <c r="M32" i="33"/>
  <c r="M32" i="34" s="1"/>
  <c r="I93" i="33"/>
  <c r="I73" i="33"/>
  <c r="I40" i="33"/>
  <c r="L25" i="32"/>
  <c r="J25" i="30"/>
  <c r="I49" i="32"/>
  <c r="I18" i="32"/>
  <c r="I38" i="32"/>
  <c r="I104" i="32"/>
  <c r="I84" i="32"/>
  <c r="L84" i="32" s="1"/>
  <c r="I40" i="32"/>
  <c r="L40" i="32" s="1"/>
  <c r="I95" i="32"/>
  <c r="L95" i="32" s="1"/>
  <c r="I106" i="32"/>
  <c r="L106" i="32" s="1"/>
  <c r="I93" i="32"/>
  <c r="K22" i="31"/>
  <c r="I84" i="31"/>
  <c r="I38" i="31"/>
  <c r="I115" i="31"/>
  <c r="I106" i="31"/>
  <c r="I95" i="31"/>
  <c r="I60" i="31"/>
  <c r="I73" i="31"/>
  <c r="I51" i="31"/>
  <c r="I40" i="31"/>
  <c r="K19" i="31"/>
  <c r="I106" i="30"/>
  <c r="J30" i="30"/>
  <c r="I40" i="30"/>
  <c r="I82" i="30"/>
  <c r="I104" i="30"/>
  <c r="I84" i="30"/>
  <c r="I60" i="30"/>
  <c r="I73" i="30"/>
  <c r="I115" i="30"/>
  <c r="I95" i="30"/>
  <c r="I104" i="34"/>
  <c r="I38" i="34"/>
  <c r="I73" i="34"/>
  <c r="N73" i="34" s="1"/>
  <c r="N30" i="34"/>
  <c r="I40" i="34"/>
  <c r="N40" i="34" s="1"/>
  <c r="I93" i="34"/>
  <c r="B103" i="19"/>
  <c r="M103" i="19" s="1"/>
  <c r="C103" i="19"/>
  <c r="N103" i="19" s="1"/>
  <c r="F102" i="19"/>
  <c r="Q102" i="19" s="1"/>
  <c r="D101" i="19"/>
  <c r="O101" i="19" s="1"/>
  <c r="E103" i="19"/>
  <c r="P103" i="19" s="1"/>
  <c r="E91" i="19"/>
  <c r="B102" i="19"/>
  <c r="M102" i="19" s="1"/>
  <c r="C101" i="19"/>
  <c r="N101" i="19" s="1"/>
  <c r="F103" i="19"/>
  <c r="Q103" i="19" s="1"/>
  <c r="D103" i="19"/>
  <c r="O103" i="19" s="1"/>
  <c r="D102" i="19"/>
  <c r="O102" i="19" s="1"/>
  <c r="B101" i="19"/>
  <c r="M101" i="19" s="1"/>
  <c r="C102" i="19"/>
  <c r="N102" i="19" s="1"/>
  <c r="F101" i="19"/>
  <c r="Q101" i="19" s="1"/>
  <c r="D92" i="19"/>
  <c r="O92" i="19" s="1"/>
  <c r="F91" i="19"/>
  <c r="Q91" i="19" s="1"/>
  <c r="D91" i="19"/>
  <c r="O91" i="19" s="1"/>
  <c r="E92" i="19"/>
  <c r="P92" i="19" s="1"/>
  <c r="C92" i="19"/>
  <c r="N92" i="19" s="1"/>
  <c r="C91" i="19"/>
  <c r="N91" i="19" s="1"/>
  <c r="B92" i="19"/>
  <c r="M92" i="19" s="1"/>
  <c r="F92" i="19"/>
  <c r="Q92" i="19" s="1"/>
  <c r="L27" i="19"/>
  <c r="L71" i="19"/>
  <c r="L84" i="19"/>
  <c r="L51" i="19"/>
  <c r="E102" i="19"/>
  <c r="P102" i="19" s="1"/>
  <c r="L49" i="19"/>
  <c r="L95" i="19"/>
  <c r="L73" i="19"/>
  <c r="L115" i="19"/>
  <c r="L38" i="19"/>
  <c r="L93" i="19"/>
  <c r="L106" i="19"/>
  <c r="L117" i="19"/>
  <c r="L82" i="19"/>
  <c r="L18" i="19"/>
  <c r="L60" i="19"/>
  <c r="L29" i="19"/>
  <c r="K30" i="31"/>
  <c r="K26" i="31"/>
  <c r="M24" i="19"/>
  <c r="F259" i="29"/>
  <c r="F206" i="29"/>
  <c r="F455" i="29"/>
  <c r="F504" i="29"/>
  <c r="F357" i="29"/>
  <c r="J19" i="32"/>
  <c r="J19" i="33"/>
  <c r="J19" i="34"/>
  <c r="J19" i="31"/>
  <c r="F308" i="29"/>
  <c r="F157" i="29"/>
  <c r="F406" i="29"/>
  <c r="F50" i="8"/>
  <c r="L30" i="8"/>
  <c r="L50" i="8"/>
  <c r="D50" i="8"/>
  <c r="M30" i="8"/>
  <c r="I30" i="8"/>
  <c r="H30" i="8"/>
  <c r="R51" i="19"/>
  <c r="J50" i="8"/>
  <c r="N50" i="8"/>
  <c r="J30" i="8"/>
  <c r="G30" i="8"/>
  <c r="F105" i="29"/>
  <c r="F30" i="8"/>
  <c r="Q74" i="19"/>
  <c r="H50" i="8"/>
  <c r="D30" i="8"/>
  <c r="K30" i="8"/>
  <c r="N30" i="8"/>
  <c r="F5" i="28"/>
  <c r="G5" i="28"/>
  <c r="E5" i="28"/>
  <c r="I5" i="28"/>
  <c r="D5" i="28"/>
  <c r="C5" i="28"/>
  <c r="H5" i="28"/>
  <c r="H6" i="28"/>
  <c r="I6" i="28"/>
  <c r="D6" i="28"/>
  <c r="C6" i="28"/>
  <c r="J34" i="34" l="1"/>
  <c r="J100" i="34"/>
  <c r="K102" i="34"/>
  <c r="J77" i="31"/>
  <c r="K70" i="32"/>
  <c r="J109" i="32"/>
  <c r="J109" i="31"/>
  <c r="L47" i="34"/>
  <c r="J89" i="33"/>
  <c r="K89" i="34"/>
  <c r="J77" i="33"/>
  <c r="K102" i="32"/>
  <c r="J77" i="34"/>
  <c r="J109" i="33"/>
  <c r="K107" i="32"/>
  <c r="L21" i="33"/>
  <c r="K78" i="33"/>
  <c r="K78" i="32"/>
  <c r="L41" i="33"/>
  <c r="K107" i="33"/>
  <c r="L22" i="33"/>
  <c r="J23" i="34"/>
  <c r="J91" i="32"/>
  <c r="K90" i="33"/>
  <c r="J100" i="31"/>
  <c r="K56" i="33"/>
  <c r="J23" i="33"/>
  <c r="K98" i="32"/>
  <c r="J99" i="33"/>
  <c r="O105" i="32"/>
  <c r="J100" i="32"/>
  <c r="J23" i="32"/>
  <c r="K112" i="32"/>
  <c r="K56" i="34"/>
  <c r="J99" i="34"/>
  <c r="O99" i="34" s="1"/>
  <c r="J36" i="34"/>
  <c r="J97" i="34"/>
  <c r="O97" i="34" s="1"/>
  <c r="K41" i="32"/>
  <c r="L64" i="33"/>
  <c r="J55" i="31"/>
  <c r="L70" i="33"/>
  <c r="J57" i="31"/>
  <c r="L79" i="34"/>
  <c r="J75" i="31"/>
  <c r="K92" i="32"/>
  <c r="J45" i="34"/>
  <c r="J24" i="34"/>
  <c r="K23" i="34"/>
  <c r="J24" i="33"/>
  <c r="K66" i="34"/>
  <c r="J24" i="32"/>
  <c r="K57" i="33"/>
  <c r="L54" i="33"/>
  <c r="J43" i="33"/>
  <c r="L103" i="34"/>
  <c r="L113" i="34"/>
  <c r="O94" i="32"/>
  <c r="J43" i="32"/>
  <c r="K24" i="33"/>
  <c r="L112" i="34"/>
  <c r="O112" i="34" s="1"/>
  <c r="J92" i="34"/>
  <c r="L23" i="33"/>
  <c r="J43" i="31"/>
  <c r="K24" i="34"/>
  <c r="L53" i="34"/>
  <c r="J111" i="31"/>
  <c r="J110" i="33"/>
  <c r="J34" i="33"/>
  <c r="J97" i="32"/>
  <c r="J32" i="34"/>
  <c r="J21" i="34"/>
  <c r="O21" i="34" s="1"/>
  <c r="J55" i="33"/>
  <c r="K43" i="32"/>
  <c r="L60" i="32"/>
  <c r="L60" i="34" s="1"/>
  <c r="J63" i="34"/>
  <c r="L58" i="33"/>
  <c r="J63" i="33"/>
  <c r="J87" i="34"/>
  <c r="J63" i="32"/>
  <c r="J90" i="32"/>
  <c r="J87" i="33"/>
  <c r="K43" i="33"/>
  <c r="J87" i="32"/>
  <c r="J97" i="31"/>
  <c r="J92" i="32"/>
  <c r="K89" i="32"/>
  <c r="J32" i="33"/>
  <c r="J21" i="33"/>
  <c r="J55" i="32"/>
  <c r="L96" i="34"/>
  <c r="L104" i="32"/>
  <c r="L104" i="34" s="1"/>
  <c r="L82" i="32"/>
  <c r="L92" i="34"/>
  <c r="L92" i="33"/>
  <c r="L91" i="34"/>
  <c r="L91" i="33"/>
  <c r="J81" i="31"/>
  <c r="O51" i="32"/>
  <c r="J32" i="32"/>
  <c r="J21" i="32"/>
  <c r="L77" i="33"/>
  <c r="J74" i="31"/>
  <c r="L115" i="32"/>
  <c r="J81" i="34"/>
  <c r="K68" i="34"/>
  <c r="L67" i="33"/>
  <c r="L51" i="34"/>
  <c r="K88" i="33"/>
  <c r="J74" i="33"/>
  <c r="J76" i="33"/>
  <c r="L63" i="34"/>
  <c r="L71" i="32"/>
  <c r="K19" i="33"/>
  <c r="K27" i="31"/>
  <c r="J89" i="34"/>
  <c r="O89" i="34" s="1"/>
  <c r="J111" i="33"/>
  <c r="J81" i="33"/>
  <c r="K75" i="33"/>
  <c r="K68" i="32"/>
  <c r="K103" i="33"/>
  <c r="K88" i="34"/>
  <c r="L20" i="33"/>
  <c r="J74" i="34"/>
  <c r="J76" i="34"/>
  <c r="L49" i="32"/>
  <c r="L102" i="34"/>
  <c r="O102" i="34" s="1"/>
  <c r="L102" i="33"/>
  <c r="J89" i="32"/>
  <c r="J111" i="34"/>
  <c r="K75" i="34"/>
  <c r="L32" i="34"/>
  <c r="K74" i="34"/>
  <c r="K103" i="34"/>
  <c r="L94" i="33"/>
  <c r="J76" i="32"/>
  <c r="L81" i="34"/>
  <c r="L81" i="33"/>
  <c r="J92" i="31"/>
  <c r="L85" i="34"/>
  <c r="L93" i="32"/>
  <c r="L93" i="34" s="1"/>
  <c r="K23" i="32"/>
  <c r="K92" i="34"/>
  <c r="J45" i="33"/>
  <c r="J41" i="34"/>
  <c r="O41" i="34" s="1"/>
  <c r="K54" i="33"/>
  <c r="K90" i="32"/>
  <c r="J36" i="32"/>
  <c r="J91" i="31"/>
  <c r="K36" i="34"/>
  <c r="K86" i="33"/>
  <c r="L45" i="34"/>
  <c r="J45" i="32"/>
  <c r="J41" i="31"/>
  <c r="J35" i="33"/>
  <c r="K91" i="33"/>
  <c r="J66" i="32"/>
  <c r="K36" i="32"/>
  <c r="J113" i="31"/>
  <c r="J33" i="34"/>
  <c r="K86" i="32"/>
  <c r="J41" i="33"/>
  <c r="J35" i="31"/>
  <c r="K91" i="34"/>
  <c r="J66" i="34"/>
  <c r="J91" i="34"/>
  <c r="L76" i="34"/>
  <c r="J113" i="34"/>
  <c r="J33" i="31"/>
  <c r="L98" i="34"/>
  <c r="J75" i="32"/>
  <c r="J35" i="32"/>
  <c r="K20" i="32"/>
  <c r="L35" i="33"/>
  <c r="J36" i="31"/>
  <c r="K63" i="33"/>
  <c r="J113" i="33"/>
  <c r="J33" i="33"/>
  <c r="K41" i="33"/>
  <c r="J75" i="33"/>
  <c r="J103" i="33"/>
  <c r="J66" i="31"/>
  <c r="L114" i="34"/>
  <c r="K63" i="34"/>
  <c r="K77" i="34"/>
  <c r="K81" i="33"/>
  <c r="K114" i="32"/>
  <c r="J79" i="32"/>
  <c r="K32" i="33"/>
  <c r="K32" i="32"/>
  <c r="L36" i="33"/>
  <c r="K87" i="34"/>
  <c r="K9" i="34" s="1"/>
  <c r="K93" i="31"/>
  <c r="K93" i="34" s="1"/>
  <c r="K87" i="32"/>
  <c r="J79" i="31"/>
  <c r="J85" i="33"/>
  <c r="J90" i="31"/>
  <c r="L33" i="34"/>
  <c r="J85" i="34"/>
  <c r="J90" i="33"/>
  <c r="K110" i="33"/>
  <c r="J53" i="33"/>
  <c r="K96" i="32"/>
  <c r="L85" i="33"/>
  <c r="J85" i="32"/>
  <c r="L72" i="33"/>
  <c r="J57" i="32"/>
  <c r="K110" i="32"/>
  <c r="J53" i="34"/>
  <c r="J52" i="34"/>
  <c r="L72" i="34"/>
  <c r="K77" i="32"/>
  <c r="J57" i="34"/>
  <c r="O57" i="34" s="1"/>
  <c r="J53" i="32"/>
  <c r="J79" i="33"/>
  <c r="L42" i="34"/>
  <c r="J22" i="33"/>
  <c r="J22" i="32"/>
  <c r="J22" i="31"/>
  <c r="L108" i="34"/>
  <c r="J96" i="32"/>
  <c r="L100" i="34"/>
  <c r="O100" i="34" s="1"/>
  <c r="J46" i="34"/>
  <c r="O46" i="34" s="1"/>
  <c r="J46" i="33"/>
  <c r="J20" i="33"/>
  <c r="N49" i="34"/>
  <c r="K54" i="32"/>
  <c r="K66" i="33"/>
  <c r="J64" i="33"/>
  <c r="J20" i="34"/>
  <c r="O20" i="34" s="1"/>
  <c r="L62" i="34"/>
  <c r="J64" i="34"/>
  <c r="M104" i="33"/>
  <c r="M104" i="34" s="1"/>
  <c r="J20" i="32"/>
  <c r="J65" i="32"/>
  <c r="L62" i="33"/>
  <c r="K111" i="32"/>
  <c r="L88" i="33"/>
  <c r="N27" i="34"/>
  <c r="J52" i="33"/>
  <c r="J52" i="32"/>
  <c r="J68" i="33"/>
  <c r="O61" i="32"/>
  <c r="K104" i="31"/>
  <c r="K104" i="32" s="1"/>
  <c r="K58" i="33"/>
  <c r="N82" i="34"/>
  <c r="L61" i="33"/>
  <c r="K58" i="34"/>
  <c r="O58" i="34" s="1"/>
  <c r="K96" i="33"/>
  <c r="K74" i="32"/>
  <c r="L75" i="34"/>
  <c r="O75" i="34" s="1"/>
  <c r="J82" i="30"/>
  <c r="J82" i="31" s="1"/>
  <c r="K45" i="32"/>
  <c r="J107" i="34"/>
  <c r="O107" i="34" s="1"/>
  <c r="K45" i="33"/>
  <c r="J78" i="33"/>
  <c r="L110" i="34"/>
  <c r="O110" i="34" s="1"/>
  <c r="J102" i="33"/>
  <c r="K79" i="33"/>
  <c r="L59" i="34"/>
  <c r="O59" i="34" s="1"/>
  <c r="K31" i="33"/>
  <c r="K82" i="31"/>
  <c r="K82" i="32" s="1"/>
  <c r="J78" i="34"/>
  <c r="K79" i="34"/>
  <c r="K31" i="34"/>
  <c r="L97" i="33"/>
  <c r="J67" i="31"/>
  <c r="J78" i="32"/>
  <c r="K113" i="33"/>
  <c r="J67" i="34"/>
  <c r="J78" i="31"/>
  <c r="J67" i="33"/>
  <c r="J107" i="33"/>
  <c r="J59" i="33"/>
  <c r="K35" i="34"/>
  <c r="O35" i="34" s="1"/>
  <c r="K34" i="33"/>
  <c r="J86" i="34"/>
  <c r="O86" i="34" s="1"/>
  <c r="J59" i="32"/>
  <c r="L66" i="34"/>
  <c r="K20" i="33"/>
  <c r="J42" i="33"/>
  <c r="J46" i="32"/>
  <c r="O83" i="32"/>
  <c r="J42" i="31"/>
  <c r="K35" i="33"/>
  <c r="K34" i="34"/>
  <c r="O34" i="34" s="1"/>
  <c r="J86" i="32"/>
  <c r="K109" i="32"/>
  <c r="L63" i="33"/>
  <c r="J59" i="31"/>
  <c r="L68" i="34"/>
  <c r="K111" i="34"/>
  <c r="J42" i="34"/>
  <c r="J98" i="32"/>
  <c r="L83" i="34"/>
  <c r="L19" i="33"/>
  <c r="G107" i="19"/>
  <c r="K25" i="33"/>
  <c r="L96" i="33"/>
  <c r="K109" i="33"/>
  <c r="J98" i="33"/>
  <c r="J54" i="33"/>
  <c r="M82" i="33"/>
  <c r="M82" i="34" s="1"/>
  <c r="J96" i="31"/>
  <c r="K25" i="34"/>
  <c r="K44" i="34"/>
  <c r="O44" i="34" s="1"/>
  <c r="K21" i="33"/>
  <c r="L86" i="33"/>
  <c r="J65" i="31"/>
  <c r="K69" i="32"/>
  <c r="L65" i="33"/>
  <c r="J69" i="33"/>
  <c r="L24" i="33"/>
  <c r="L116" i="33"/>
  <c r="K48" i="33"/>
  <c r="J54" i="34"/>
  <c r="O54" i="34" s="1"/>
  <c r="K60" i="31"/>
  <c r="K60" i="33" s="1"/>
  <c r="K71" i="31"/>
  <c r="K71" i="34" s="1"/>
  <c r="N71" i="34"/>
  <c r="K49" i="31"/>
  <c r="K49" i="32" s="1"/>
  <c r="L122" i="33"/>
  <c r="K44" i="32"/>
  <c r="K21" i="32"/>
  <c r="J65" i="34"/>
  <c r="O65" i="34" s="1"/>
  <c r="K69" i="33"/>
  <c r="K53" i="33"/>
  <c r="J69" i="34"/>
  <c r="J96" i="34"/>
  <c r="O96" i="34" s="1"/>
  <c r="L116" i="34"/>
  <c r="K48" i="34"/>
  <c r="J54" i="32"/>
  <c r="L27" i="32"/>
  <c r="L27" i="33" s="1"/>
  <c r="J80" i="34"/>
  <c r="K81" i="34"/>
  <c r="J64" i="32"/>
  <c r="J98" i="34"/>
  <c r="K115" i="31"/>
  <c r="K115" i="32" s="1"/>
  <c r="M115" i="33"/>
  <c r="M115" i="34" s="1"/>
  <c r="J68" i="34"/>
  <c r="L38" i="32"/>
  <c r="L38" i="34" s="1"/>
  <c r="N93" i="34"/>
  <c r="K42" i="34"/>
  <c r="J68" i="32"/>
  <c r="K42" i="32"/>
  <c r="N104" i="34"/>
  <c r="J88" i="33"/>
  <c r="L69" i="33"/>
  <c r="J34" i="32"/>
  <c r="L52" i="33"/>
  <c r="K47" i="32"/>
  <c r="J56" i="33"/>
  <c r="J88" i="34"/>
  <c r="J56" i="34"/>
  <c r="O56" i="34" s="1"/>
  <c r="J60" i="30"/>
  <c r="J60" i="34" s="1"/>
  <c r="L52" i="34"/>
  <c r="K52" i="32"/>
  <c r="J103" i="34"/>
  <c r="J71" i="30"/>
  <c r="J71" i="31" s="1"/>
  <c r="J88" i="32"/>
  <c r="J56" i="32"/>
  <c r="K47" i="33"/>
  <c r="K52" i="34"/>
  <c r="J103" i="32"/>
  <c r="M71" i="33"/>
  <c r="M71" i="34" s="1"/>
  <c r="L43" i="33"/>
  <c r="K52" i="33"/>
  <c r="J49" i="30"/>
  <c r="J49" i="34" s="1"/>
  <c r="L56" i="33"/>
  <c r="J31" i="33"/>
  <c r="N60" i="34"/>
  <c r="M78" i="34"/>
  <c r="J31" i="34"/>
  <c r="J115" i="30"/>
  <c r="J115" i="33" s="1"/>
  <c r="M93" i="33"/>
  <c r="M93" i="34" s="1"/>
  <c r="K67" i="33"/>
  <c r="M49" i="33"/>
  <c r="M49" i="34" s="1"/>
  <c r="J31" i="32"/>
  <c r="N115" i="34"/>
  <c r="N117" i="34" s="1"/>
  <c r="R107" i="19"/>
  <c r="K67" i="34"/>
  <c r="L31" i="33"/>
  <c r="M27" i="33"/>
  <c r="M27" i="34" s="1"/>
  <c r="J70" i="33"/>
  <c r="J80" i="32"/>
  <c r="K113" i="34"/>
  <c r="J102" i="32"/>
  <c r="N12" i="34"/>
  <c r="K67" i="32"/>
  <c r="J70" i="34"/>
  <c r="O70" i="34" s="1"/>
  <c r="M60" i="33"/>
  <c r="M60" i="34" s="1"/>
  <c r="J80" i="31"/>
  <c r="J102" i="31"/>
  <c r="L44" i="33"/>
  <c r="L80" i="34"/>
  <c r="J70" i="32"/>
  <c r="K108" i="32"/>
  <c r="J114" i="34"/>
  <c r="J47" i="33"/>
  <c r="J93" i="30"/>
  <c r="K108" i="33"/>
  <c r="J114" i="31"/>
  <c r="J47" i="34"/>
  <c r="J104" i="30"/>
  <c r="J104" i="31" s="1"/>
  <c r="L78" i="33"/>
  <c r="K108" i="34"/>
  <c r="J114" i="33"/>
  <c r="J47" i="32"/>
  <c r="N38" i="34"/>
  <c r="K112" i="33"/>
  <c r="N14" i="34"/>
  <c r="K19" i="34"/>
  <c r="O19" i="34" s="1"/>
  <c r="L48" i="33"/>
  <c r="R96" i="19"/>
  <c r="O84" i="32"/>
  <c r="L84" i="33"/>
  <c r="L84" i="34"/>
  <c r="O43" i="34"/>
  <c r="O55" i="34"/>
  <c r="L25" i="34"/>
  <c r="L25" i="33"/>
  <c r="K19" i="32"/>
  <c r="K22" i="34"/>
  <c r="O22" i="34" s="1"/>
  <c r="K22" i="32"/>
  <c r="K22" i="33"/>
  <c r="M38" i="33"/>
  <c r="M38" i="34" s="1"/>
  <c r="K30" i="34"/>
  <c r="K30" i="32"/>
  <c r="K30" i="33"/>
  <c r="K38" i="31"/>
  <c r="J30" i="31"/>
  <c r="J30" i="32"/>
  <c r="J30" i="34"/>
  <c r="J30" i="33"/>
  <c r="J38" i="30"/>
  <c r="O37" i="34"/>
  <c r="L106" i="34"/>
  <c r="O106" i="32"/>
  <c r="L106" i="33"/>
  <c r="J25" i="31"/>
  <c r="J25" i="34"/>
  <c r="J25" i="33"/>
  <c r="J25" i="32"/>
  <c r="O109" i="34"/>
  <c r="O40" i="32"/>
  <c r="L40" i="34"/>
  <c r="L40" i="33"/>
  <c r="N13" i="34"/>
  <c r="K26" i="32"/>
  <c r="K26" i="34"/>
  <c r="K26" i="33"/>
  <c r="L95" i="33"/>
  <c r="O95" i="32"/>
  <c r="L95" i="34"/>
  <c r="R53" i="19"/>
  <c r="L26" i="34"/>
  <c r="L26" i="33"/>
  <c r="R80" i="19"/>
  <c r="G112" i="19"/>
  <c r="G80" i="19"/>
  <c r="R112" i="19"/>
  <c r="Q82" i="19"/>
  <c r="F82" i="19"/>
  <c r="F115" i="19"/>
  <c r="P115" i="19"/>
  <c r="Q115" i="19"/>
  <c r="R99" i="19"/>
  <c r="R113" i="19"/>
  <c r="B82" i="19"/>
  <c r="G114" i="19"/>
  <c r="R114" i="19"/>
  <c r="G111" i="19"/>
  <c r="P104" i="19"/>
  <c r="R81" i="19"/>
  <c r="G100" i="19"/>
  <c r="G30" i="19"/>
  <c r="B38" i="19"/>
  <c r="O38" i="19"/>
  <c r="P21" i="19"/>
  <c r="D27" i="19"/>
  <c r="G24" i="19"/>
  <c r="G20" i="19"/>
  <c r="E27" i="19"/>
  <c r="M119" i="19"/>
  <c r="R119" i="19" s="1"/>
  <c r="G119" i="19"/>
  <c r="D60" i="19"/>
  <c r="M89" i="19"/>
  <c r="R89" i="19" s="1"/>
  <c r="G89" i="19"/>
  <c r="C49" i="19"/>
  <c r="N41" i="19"/>
  <c r="N49" i="19" s="1"/>
  <c r="P118" i="19"/>
  <c r="P126" i="19" s="1"/>
  <c r="E126" i="19"/>
  <c r="M57" i="19"/>
  <c r="R57" i="19" s="1"/>
  <c r="G57" i="19"/>
  <c r="M45" i="19"/>
  <c r="R45" i="19" s="1"/>
  <c r="G45" i="19"/>
  <c r="Q118" i="19"/>
  <c r="Q126" i="19" s="1"/>
  <c r="F126" i="19"/>
  <c r="M122" i="19"/>
  <c r="R122" i="19" s="1"/>
  <c r="G122" i="19"/>
  <c r="M75" i="19"/>
  <c r="R75" i="19" s="1"/>
  <c r="G75" i="19"/>
  <c r="M124" i="19"/>
  <c r="R124" i="19" s="1"/>
  <c r="G124" i="19"/>
  <c r="G55" i="19"/>
  <c r="M66" i="19"/>
  <c r="R66" i="19" s="1"/>
  <c r="G66" i="19"/>
  <c r="M41" i="19"/>
  <c r="B49" i="19"/>
  <c r="G41" i="19"/>
  <c r="M47" i="19"/>
  <c r="R47" i="19" s="1"/>
  <c r="G47" i="19"/>
  <c r="G118" i="19"/>
  <c r="B126" i="19"/>
  <c r="M118" i="19"/>
  <c r="G26" i="19"/>
  <c r="M26" i="19"/>
  <c r="M32" i="19"/>
  <c r="R32" i="19" s="1"/>
  <c r="G32" i="19"/>
  <c r="F71" i="19"/>
  <c r="M85" i="19"/>
  <c r="G85" i="19"/>
  <c r="M76" i="19"/>
  <c r="R76" i="19" s="1"/>
  <c r="G76" i="19"/>
  <c r="M31" i="19"/>
  <c r="R31" i="19" s="1"/>
  <c r="G31" i="19"/>
  <c r="C38" i="19"/>
  <c r="M97" i="19"/>
  <c r="R97" i="19" s="1"/>
  <c r="G97" i="19"/>
  <c r="F27" i="19"/>
  <c r="R55" i="19"/>
  <c r="M54" i="19"/>
  <c r="R54" i="19" s="1"/>
  <c r="G54" i="19"/>
  <c r="G113" i="19"/>
  <c r="D82" i="19"/>
  <c r="C115" i="19"/>
  <c r="C27" i="19"/>
  <c r="G19" i="19"/>
  <c r="D71" i="19"/>
  <c r="O118" i="19"/>
  <c r="O126" i="19" s="1"/>
  <c r="D126" i="19"/>
  <c r="M90" i="19"/>
  <c r="R90" i="19" s="1"/>
  <c r="G90" i="19"/>
  <c r="M78" i="19"/>
  <c r="R78" i="19" s="1"/>
  <c r="G78" i="19"/>
  <c r="R100" i="19"/>
  <c r="F60" i="19"/>
  <c r="Q67" i="19" s="1"/>
  <c r="Q71" i="19" s="1"/>
  <c r="P41" i="19"/>
  <c r="P49" i="19" s="1"/>
  <c r="E49" i="19"/>
  <c r="M67" i="19"/>
  <c r="G67" i="19"/>
  <c r="M87" i="19"/>
  <c r="R87" i="19" s="1"/>
  <c r="G87" i="19"/>
  <c r="O98" i="19"/>
  <c r="R98" i="19" s="1"/>
  <c r="G98" i="19"/>
  <c r="M34" i="19"/>
  <c r="R34" i="19" s="1"/>
  <c r="G34" i="19"/>
  <c r="D38" i="19"/>
  <c r="R68" i="19"/>
  <c r="C82" i="19"/>
  <c r="O71" i="19"/>
  <c r="P38" i="19"/>
  <c r="G81" i="19"/>
  <c r="E115" i="19"/>
  <c r="N111" i="19"/>
  <c r="N115" i="19" s="1"/>
  <c r="M59" i="19"/>
  <c r="R59" i="19" s="1"/>
  <c r="G59" i="19"/>
  <c r="M88" i="19"/>
  <c r="R88" i="19" s="1"/>
  <c r="G88" i="19"/>
  <c r="M120" i="19"/>
  <c r="R120" i="19" s="1"/>
  <c r="G120" i="19"/>
  <c r="M77" i="19"/>
  <c r="R77" i="19" s="1"/>
  <c r="G77" i="19"/>
  <c r="F38" i="19"/>
  <c r="M56" i="19"/>
  <c r="R56" i="19" s="1"/>
  <c r="G56" i="19"/>
  <c r="M69" i="19"/>
  <c r="R69" i="19" s="1"/>
  <c r="G69" i="19"/>
  <c r="M35" i="19"/>
  <c r="R35" i="19" s="1"/>
  <c r="G35" i="19"/>
  <c r="G68" i="19"/>
  <c r="Q60" i="19"/>
  <c r="M58" i="19"/>
  <c r="R58" i="19" s="1"/>
  <c r="G58" i="19"/>
  <c r="Q41" i="19"/>
  <c r="Q49" i="19" s="1"/>
  <c r="F49" i="19"/>
  <c r="E38" i="19"/>
  <c r="M52" i="19"/>
  <c r="G52" i="19"/>
  <c r="B60" i="19"/>
  <c r="M123" i="19"/>
  <c r="R123" i="19" s="1"/>
  <c r="G123" i="19"/>
  <c r="M33" i="19"/>
  <c r="R33" i="19" s="1"/>
  <c r="G33" i="19"/>
  <c r="G65" i="19"/>
  <c r="M65" i="19"/>
  <c r="R65" i="19" s="1"/>
  <c r="M121" i="19"/>
  <c r="R121" i="19" s="1"/>
  <c r="G121" i="19"/>
  <c r="G96" i="19"/>
  <c r="B71" i="19"/>
  <c r="M63" i="19"/>
  <c r="R63" i="19" s="1"/>
  <c r="G63" i="19"/>
  <c r="P82" i="19"/>
  <c r="O60" i="19"/>
  <c r="B115" i="19"/>
  <c r="D115" i="19"/>
  <c r="G22" i="19"/>
  <c r="M74" i="19"/>
  <c r="R74" i="19" s="1"/>
  <c r="G74" i="19"/>
  <c r="G25" i="19"/>
  <c r="E60" i="19"/>
  <c r="G110" i="19"/>
  <c r="M110" i="19"/>
  <c r="R110" i="19" s="1"/>
  <c r="M37" i="19"/>
  <c r="R37" i="19" s="1"/>
  <c r="G37" i="19"/>
  <c r="C60" i="19"/>
  <c r="N67" i="19" s="1"/>
  <c r="N71" i="19" s="1"/>
  <c r="N52" i="19"/>
  <c r="N60" i="19" s="1"/>
  <c r="M43" i="19"/>
  <c r="R43" i="19" s="1"/>
  <c r="G43" i="19"/>
  <c r="M125" i="19"/>
  <c r="R125" i="19" s="1"/>
  <c r="G125" i="19"/>
  <c r="E71" i="19"/>
  <c r="M46" i="19"/>
  <c r="R46" i="19" s="1"/>
  <c r="G46" i="19"/>
  <c r="M79" i="19"/>
  <c r="R79" i="19" s="1"/>
  <c r="G79" i="19"/>
  <c r="G23" i="19"/>
  <c r="N82" i="19"/>
  <c r="C71" i="19"/>
  <c r="P71" i="19"/>
  <c r="O82" i="19"/>
  <c r="P60" i="19"/>
  <c r="E82" i="19"/>
  <c r="G99" i="19"/>
  <c r="M108" i="19"/>
  <c r="R108" i="19" s="1"/>
  <c r="G108" i="19"/>
  <c r="M44" i="19"/>
  <c r="R44" i="19" s="1"/>
  <c r="G44" i="19"/>
  <c r="G70" i="19"/>
  <c r="M70" i="19"/>
  <c r="R70" i="19" s="1"/>
  <c r="M36" i="19"/>
  <c r="R36" i="19" s="1"/>
  <c r="G36" i="19"/>
  <c r="M109" i="19"/>
  <c r="R109" i="19" s="1"/>
  <c r="G109" i="19"/>
  <c r="M86" i="19"/>
  <c r="R86" i="19" s="1"/>
  <c r="G86" i="19"/>
  <c r="O41" i="19"/>
  <c r="O49" i="19" s="1"/>
  <c r="D49" i="19"/>
  <c r="N118" i="19"/>
  <c r="N126" i="19" s="1"/>
  <c r="C126" i="19"/>
  <c r="G53" i="19"/>
  <c r="M42" i="19"/>
  <c r="R42" i="19" s="1"/>
  <c r="G42" i="19"/>
  <c r="M64" i="19"/>
  <c r="R64" i="19" s="1"/>
  <c r="G64" i="19"/>
  <c r="M48" i="19"/>
  <c r="R48" i="19" s="1"/>
  <c r="G48" i="19"/>
  <c r="O93" i="19"/>
  <c r="M13" i="34"/>
  <c r="M10" i="34"/>
  <c r="K14" i="31"/>
  <c r="J27" i="30"/>
  <c r="J13" i="30"/>
  <c r="J14" i="30"/>
  <c r="N11" i="34"/>
  <c r="N8" i="34"/>
  <c r="N9" i="34"/>
  <c r="N7" i="34"/>
  <c r="J8" i="30"/>
  <c r="J12" i="30"/>
  <c r="E93" i="19"/>
  <c r="P91" i="19"/>
  <c r="R91" i="19" s="1"/>
  <c r="R101" i="19"/>
  <c r="B93" i="19"/>
  <c r="B104" i="19"/>
  <c r="B14" i="19"/>
  <c r="Q104" i="19"/>
  <c r="N104" i="19"/>
  <c r="Q93" i="19"/>
  <c r="R103" i="19"/>
  <c r="C104" i="19"/>
  <c r="G101" i="19"/>
  <c r="D104" i="19"/>
  <c r="G91" i="19"/>
  <c r="R92" i="19"/>
  <c r="F104" i="19"/>
  <c r="G103" i="19"/>
  <c r="D93" i="19"/>
  <c r="F93" i="19"/>
  <c r="N93" i="19"/>
  <c r="G92" i="19"/>
  <c r="F14" i="19"/>
  <c r="O115" i="19"/>
  <c r="C93" i="19"/>
  <c r="R102" i="19"/>
  <c r="G102" i="19"/>
  <c r="E104" i="19"/>
  <c r="Q14" i="19"/>
  <c r="L9" i="32"/>
  <c r="J7" i="30"/>
  <c r="K13" i="31"/>
  <c r="M19" i="19"/>
  <c r="K9" i="31"/>
  <c r="K8" i="31"/>
  <c r="M12" i="33"/>
  <c r="M10" i="33"/>
  <c r="M9" i="33"/>
  <c r="M11" i="33"/>
  <c r="M8" i="34"/>
  <c r="M8" i="33"/>
  <c r="R61" i="19"/>
  <c r="B8" i="19"/>
  <c r="R20" i="19"/>
  <c r="C7" i="19"/>
  <c r="C12" i="19"/>
  <c r="B12" i="19"/>
  <c r="P26" i="19"/>
  <c r="E14" i="19"/>
  <c r="D9" i="19"/>
  <c r="N24" i="19"/>
  <c r="R24" i="19" s="1"/>
  <c r="E7" i="19"/>
  <c r="B13" i="19"/>
  <c r="E9" i="19"/>
  <c r="Q23" i="19"/>
  <c r="N30" i="19"/>
  <c r="N38" i="19" s="1"/>
  <c r="D14" i="19"/>
  <c r="O26" i="19"/>
  <c r="O14" i="19" s="1"/>
  <c r="F7" i="19"/>
  <c r="N26" i="19"/>
  <c r="C14" i="19"/>
  <c r="B7" i="19"/>
  <c r="Q19" i="19"/>
  <c r="Q30" i="19"/>
  <c r="Q38" i="19" s="1"/>
  <c r="D13" i="19"/>
  <c r="E8" i="19"/>
  <c r="F12" i="19"/>
  <c r="C11" i="19"/>
  <c r="C8" i="19"/>
  <c r="E13" i="19"/>
  <c r="C9" i="19"/>
  <c r="D10" i="19"/>
  <c r="D7" i="19"/>
  <c r="D11" i="19"/>
  <c r="D8" i="19"/>
  <c r="R22" i="19"/>
  <c r="F9" i="19"/>
  <c r="E11" i="19"/>
  <c r="F11" i="19"/>
  <c r="B10" i="19"/>
  <c r="P12" i="19"/>
  <c r="E12" i="19"/>
  <c r="F13" i="19"/>
  <c r="R25" i="19"/>
  <c r="D12" i="19"/>
  <c r="F10" i="19"/>
  <c r="B11" i="19"/>
  <c r="C13" i="19"/>
  <c r="F8" i="19"/>
  <c r="E10" i="19"/>
  <c r="C10" i="19"/>
  <c r="I7" i="28"/>
  <c r="C7" i="28"/>
  <c r="D7" i="28"/>
  <c r="H7" i="28"/>
  <c r="I8" i="28"/>
  <c r="H8" i="28"/>
  <c r="D8" i="28"/>
  <c r="C8" i="28"/>
  <c r="K93" i="33" l="1"/>
  <c r="O47" i="34"/>
  <c r="O23" i="34"/>
  <c r="L10" i="33"/>
  <c r="O33" i="34"/>
  <c r="O45" i="34"/>
  <c r="O36" i="34"/>
  <c r="O113" i="34"/>
  <c r="J82" i="34"/>
  <c r="L93" i="33"/>
  <c r="O79" i="34"/>
  <c r="O24" i="34"/>
  <c r="K12" i="32"/>
  <c r="K93" i="32"/>
  <c r="O103" i="34"/>
  <c r="O32" i="34"/>
  <c r="O53" i="34"/>
  <c r="O88" i="34"/>
  <c r="J60" i="33"/>
  <c r="J60" i="32"/>
  <c r="J60" i="31"/>
  <c r="J14" i="31"/>
  <c r="O63" i="34"/>
  <c r="O85" i="34"/>
  <c r="O76" i="34"/>
  <c r="O92" i="34"/>
  <c r="K14" i="32"/>
  <c r="L60" i="33"/>
  <c r="J12" i="31"/>
  <c r="K82" i="34"/>
  <c r="O74" i="34"/>
  <c r="O114" i="34"/>
  <c r="O98" i="34"/>
  <c r="J8" i="32"/>
  <c r="J12" i="33"/>
  <c r="K115" i="33"/>
  <c r="O81" i="34"/>
  <c r="L71" i="34"/>
  <c r="L71" i="33"/>
  <c r="K115" i="34"/>
  <c r="L115" i="33"/>
  <c r="L115" i="34"/>
  <c r="L104" i="33"/>
  <c r="O31" i="34"/>
  <c r="J13" i="31"/>
  <c r="O91" i="34"/>
  <c r="L49" i="34"/>
  <c r="L49" i="33"/>
  <c r="L82" i="34"/>
  <c r="L82" i="33"/>
  <c r="L11" i="32"/>
  <c r="L122" i="34"/>
  <c r="O122" i="34" s="1"/>
  <c r="O126" i="34" s="1"/>
  <c r="K104" i="33"/>
  <c r="K104" i="34"/>
  <c r="O66" i="34"/>
  <c r="J82" i="32"/>
  <c r="O87" i="34"/>
  <c r="L59" i="33"/>
  <c r="L14" i="33" s="1"/>
  <c r="J12" i="34"/>
  <c r="L27" i="34"/>
  <c r="J8" i="34"/>
  <c r="O42" i="34"/>
  <c r="O52" i="34"/>
  <c r="K60" i="34"/>
  <c r="K60" i="32"/>
  <c r="J13" i="33"/>
  <c r="L12" i="32"/>
  <c r="O64" i="34"/>
  <c r="J82" i="33"/>
  <c r="K14" i="34"/>
  <c r="J71" i="33"/>
  <c r="J13" i="34"/>
  <c r="K71" i="33"/>
  <c r="J14" i="33"/>
  <c r="K71" i="32"/>
  <c r="L80" i="33"/>
  <c r="L13" i="33" s="1"/>
  <c r="L38" i="33"/>
  <c r="O78" i="34"/>
  <c r="K9" i="32"/>
  <c r="K12" i="34"/>
  <c r="J13" i="32"/>
  <c r="K8" i="33"/>
  <c r="J14" i="32"/>
  <c r="O67" i="34"/>
  <c r="J49" i="31"/>
  <c r="K8" i="34"/>
  <c r="K8" i="32"/>
  <c r="K82" i="33"/>
  <c r="O68" i="34"/>
  <c r="K14" i="33"/>
  <c r="L69" i="34"/>
  <c r="O69" i="34" s="1"/>
  <c r="O26" i="34"/>
  <c r="K49" i="33"/>
  <c r="O108" i="34"/>
  <c r="K49" i="34"/>
  <c r="L14" i="32"/>
  <c r="L48" i="34"/>
  <c r="O48" i="34" s="1"/>
  <c r="J14" i="34"/>
  <c r="R52" i="19"/>
  <c r="R60" i="19" s="1"/>
  <c r="J71" i="34"/>
  <c r="J104" i="34"/>
  <c r="O80" i="34"/>
  <c r="J115" i="34"/>
  <c r="J104" i="33"/>
  <c r="J49" i="32"/>
  <c r="J49" i="33"/>
  <c r="J71" i="32"/>
  <c r="J115" i="32"/>
  <c r="J115" i="31"/>
  <c r="J104" i="32"/>
  <c r="J93" i="34"/>
  <c r="J93" i="33"/>
  <c r="J93" i="31"/>
  <c r="J93" i="32"/>
  <c r="L101" i="34"/>
  <c r="O101" i="34" s="1"/>
  <c r="L101" i="33"/>
  <c r="L90" i="34"/>
  <c r="L90" i="33"/>
  <c r="K38" i="34"/>
  <c r="K38" i="32"/>
  <c r="K38" i="33"/>
  <c r="J27" i="34"/>
  <c r="J27" i="31"/>
  <c r="J27" i="32"/>
  <c r="J27" i="33"/>
  <c r="K27" i="32"/>
  <c r="K27" i="34"/>
  <c r="K27" i="33"/>
  <c r="O25" i="34"/>
  <c r="L111" i="34"/>
  <c r="O111" i="34" s="1"/>
  <c r="L111" i="33"/>
  <c r="J38" i="31"/>
  <c r="J38" i="32"/>
  <c r="J38" i="34"/>
  <c r="J38" i="33"/>
  <c r="R111" i="19"/>
  <c r="R82" i="19"/>
  <c r="M49" i="19"/>
  <c r="R49" i="19" s="1"/>
  <c r="G115" i="19"/>
  <c r="M104" i="19"/>
  <c r="M93" i="19"/>
  <c r="G93" i="19"/>
  <c r="G82" i="19"/>
  <c r="G38" i="19"/>
  <c r="G126" i="19"/>
  <c r="O104" i="19"/>
  <c r="G60" i="19"/>
  <c r="M38" i="19"/>
  <c r="M60" i="19"/>
  <c r="R67" i="19"/>
  <c r="R71" i="19" s="1"/>
  <c r="G71" i="19"/>
  <c r="M115" i="19"/>
  <c r="R115" i="19" s="1"/>
  <c r="M71" i="19"/>
  <c r="G49" i="19"/>
  <c r="R85" i="19"/>
  <c r="R93" i="19" s="1"/>
  <c r="M14" i="19"/>
  <c r="M82" i="19"/>
  <c r="M126" i="19"/>
  <c r="R118" i="19"/>
  <c r="R126" i="19" s="1"/>
  <c r="R41" i="19"/>
  <c r="M11" i="34"/>
  <c r="M13" i="33"/>
  <c r="M14" i="34"/>
  <c r="M14" i="33"/>
  <c r="M7" i="34"/>
  <c r="M7" i="33"/>
  <c r="M12" i="34"/>
  <c r="M9" i="34"/>
  <c r="L7" i="32"/>
  <c r="K10" i="33"/>
  <c r="K7" i="32"/>
  <c r="K7" i="31"/>
  <c r="K11" i="33"/>
  <c r="K11" i="31"/>
  <c r="K11" i="32"/>
  <c r="K11" i="34"/>
  <c r="K7" i="33"/>
  <c r="K9" i="33"/>
  <c r="K12" i="33"/>
  <c r="K12" i="31"/>
  <c r="J12" i="32"/>
  <c r="J8" i="31"/>
  <c r="J11" i="31"/>
  <c r="O30" i="34"/>
  <c r="J8" i="33"/>
  <c r="J10" i="32"/>
  <c r="J10" i="33"/>
  <c r="J10" i="31"/>
  <c r="J10" i="30"/>
  <c r="L8" i="32"/>
  <c r="L10" i="32"/>
  <c r="L13" i="32"/>
  <c r="K10" i="31"/>
  <c r="J11" i="33"/>
  <c r="G104" i="19"/>
  <c r="J11" i="32"/>
  <c r="J9" i="31"/>
  <c r="J9" i="30"/>
  <c r="J11" i="34"/>
  <c r="J11" i="30"/>
  <c r="P93" i="19"/>
  <c r="L10" i="34"/>
  <c r="R104" i="19"/>
  <c r="O13" i="19"/>
  <c r="P8" i="19"/>
  <c r="N13" i="19"/>
  <c r="P13" i="19"/>
  <c r="Q13" i="19"/>
  <c r="Q12" i="19"/>
  <c r="J9" i="34"/>
  <c r="J9" i="33"/>
  <c r="J9" i="32"/>
  <c r="K7" i="34"/>
  <c r="K10" i="32"/>
  <c r="L8" i="34"/>
  <c r="L9" i="33"/>
  <c r="L9" i="34"/>
  <c r="L8" i="33"/>
  <c r="O12" i="19"/>
  <c r="L7" i="33"/>
  <c r="J10" i="34"/>
  <c r="J7" i="31"/>
  <c r="K13" i="32"/>
  <c r="K13" i="34"/>
  <c r="L7" i="34"/>
  <c r="K10" i="34"/>
  <c r="K13" i="33"/>
  <c r="J7" i="33"/>
  <c r="J7" i="34"/>
  <c r="J7" i="32"/>
  <c r="R19" i="19"/>
  <c r="O27" i="19"/>
  <c r="E49" i="8"/>
  <c r="C49" i="8" s="1"/>
  <c r="N8" i="19"/>
  <c r="O9" i="19"/>
  <c r="Q8" i="19"/>
  <c r="Q11" i="19"/>
  <c r="O8" i="19"/>
  <c r="Q9" i="19"/>
  <c r="N12" i="19"/>
  <c r="N27" i="19"/>
  <c r="N9" i="19"/>
  <c r="P9" i="19"/>
  <c r="R30" i="19"/>
  <c r="R38" i="19" s="1"/>
  <c r="R23" i="19"/>
  <c r="Q27" i="19"/>
  <c r="G11" i="19"/>
  <c r="C15" i="19"/>
  <c r="N14" i="19"/>
  <c r="R26" i="19"/>
  <c r="G14" i="19"/>
  <c r="N10" i="19"/>
  <c r="P14" i="19"/>
  <c r="P27" i="19"/>
  <c r="P10" i="19"/>
  <c r="Q10" i="19"/>
  <c r="Q7" i="19"/>
  <c r="E44" i="8"/>
  <c r="C44" i="8" s="1"/>
  <c r="M7" i="19"/>
  <c r="D15" i="19"/>
  <c r="M12" i="19"/>
  <c r="M13" i="19"/>
  <c r="M8" i="19"/>
  <c r="G8" i="19"/>
  <c r="G12" i="19"/>
  <c r="F15" i="19"/>
  <c r="G7" i="19"/>
  <c r="G10" i="19"/>
  <c r="G13" i="19"/>
  <c r="E42" i="8"/>
  <c r="C42" i="8" s="1"/>
  <c r="N7" i="19"/>
  <c r="E47" i="8"/>
  <c r="C47" i="8" s="1"/>
  <c r="P7" i="19"/>
  <c r="O10" i="19"/>
  <c r="O7" i="19"/>
  <c r="E15" i="19"/>
  <c r="H9" i="28"/>
  <c r="C9" i="28"/>
  <c r="I9" i="28"/>
  <c r="D9" i="28"/>
  <c r="I10" i="28"/>
  <c r="H10" i="28"/>
  <c r="C10" i="28"/>
  <c r="D10" i="28"/>
  <c r="O60" i="34" l="1"/>
  <c r="O104" i="34"/>
  <c r="O38" i="34"/>
  <c r="O8" i="34"/>
  <c r="O49" i="34"/>
  <c r="L14" i="34"/>
  <c r="O14" i="34" s="1"/>
  <c r="O115" i="34"/>
  <c r="O71" i="34"/>
  <c r="L13" i="34"/>
  <c r="O13" i="34" s="1"/>
  <c r="O27" i="34"/>
  <c r="L12" i="33"/>
  <c r="O90" i="34"/>
  <c r="O93" i="34" s="1"/>
  <c r="L12" i="34"/>
  <c r="O12" i="34" s="1"/>
  <c r="M15" i="34"/>
  <c r="M15" i="33"/>
  <c r="L11" i="34"/>
  <c r="O11" i="34" s="1"/>
  <c r="L11" i="33"/>
  <c r="K15" i="32"/>
  <c r="K15" i="31"/>
  <c r="K15" i="33"/>
  <c r="J15" i="31"/>
  <c r="O9" i="34"/>
  <c r="J15" i="32"/>
  <c r="J15" i="33"/>
  <c r="L15" i="32"/>
  <c r="J15" i="30"/>
  <c r="M10" i="19"/>
  <c r="R10" i="19" s="1"/>
  <c r="R13" i="19"/>
  <c r="E45" i="8"/>
  <c r="C45" i="8" s="1"/>
  <c r="N11" i="19"/>
  <c r="N15" i="19" s="1"/>
  <c r="O11" i="19"/>
  <c r="O15" i="19" s="1"/>
  <c r="E46" i="8"/>
  <c r="C46" i="8" s="1"/>
  <c r="P11" i="19"/>
  <c r="P15" i="19" s="1"/>
  <c r="E48" i="8"/>
  <c r="C48" i="8" s="1"/>
  <c r="O7" i="34"/>
  <c r="K15" i="34"/>
  <c r="J15" i="34"/>
  <c r="R12" i="19"/>
  <c r="R8" i="19"/>
  <c r="E41" i="8"/>
  <c r="C41" i="8" s="1"/>
  <c r="C50" i="8" s="1"/>
  <c r="M11" i="19"/>
  <c r="Q15" i="19"/>
  <c r="R14" i="19"/>
  <c r="R7" i="19"/>
  <c r="C11" i="28"/>
  <c r="H11" i="28"/>
  <c r="I11" i="28"/>
  <c r="D11" i="28"/>
  <c r="E6" i="28"/>
  <c r="F6" i="28"/>
  <c r="G6" i="28"/>
  <c r="L15" i="33" l="1"/>
  <c r="L15" i="34"/>
  <c r="G7" i="28"/>
  <c r="F7" i="28"/>
  <c r="E7" i="28"/>
  <c r="R11" i="19"/>
  <c r="F8" i="28"/>
  <c r="G8" i="28"/>
  <c r="F9" i="28" l="1"/>
  <c r="G9" i="28"/>
  <c r="G10" i="28"/>
  <c r="G11" i="28" l="1"/>
  <c r="O40" i="31" l="1"/>
  <c r="N10" i="34" l="1"/>
  <c r="O77" i="34"/>
  <c r="O82" i="34" s="1"/>
  <c r="N15" i="34" l="1"/>
  <c r="O10" i="34"/>
  <c r="O15" i="34" s="1"/>
  <c r="A6" i="34" l="1" a="1"/>
  <c r="A6" i="34"/>
  <c r="B15" i="34"/>
  <c r="C24" i="34"/>
  <c r="D33" i="34"/>
  <c r="E42" i="34"/>
  <c r="F51" i="34"/>
  <c r="A6" i="33" a="1"/>
  <c r="A6" i="32" a="1"/>
  <c r="A6" i="31" a="1"/>
  <c r="A6" i="30" a="1"/>
  <c r="F53" i="30"/>
  <c r="N53" i="30" s="1"/>
  <c r="F53" i="31" s="1"/>
  <c r="N53" i="31" s="1"/>
  <c r="F54" i="30"/>
  <c r="N54" i="30" s="1"/>
  <c r="F54" i="31" s="1"/>
  <c r="N54" i="31" s="1"/>
  <c r="F54" i="32" s="1"/>
  <c r="N54" i="32" s="1"/>
  <c r="F55" i="30"/>
  <c r="N55" i="30" s="1"/>
  <c r="F55" i="31" s="1"/>
  <c r="N55" i="31" s="1"/>
  <c r="F55" i="32" s="1"/>
  <c r="N55" i="32" s="1"/>
  <c r="F55" i="33" s="1"/>
  <c r="N55" i="33" s="1"/>
  <c r="O55" i="33" s="1"/>
  <c r="G55" i="34" s="1"/>
  <c r="F56" i="30"/>
  <c r="N56" i="30" s="1"/>
  <c r="F56" i="31" s="1"/>
  <c r="N56" i="31" s="1"/>
  <c r="F56" i="32" s="1"/>
  <c r="N56" i="32" s="1"/>
  <c r="F56" i="33" s="1"/>
  <c r="N56" i="33" s="1"/>
  <c r="O56" i="33" s="1"/>
  <c r="G56" i="34" s="1"/>
  <c r="F57" i="30"/>
  <c r="N57" i="30" s="1"/>
  <c r="F57" i="31" s="1"/>
  <c r="N57" i="31" s="1"/>
  <c r="F57" i="32" s="1"/>
  <c r="N57" i="32" s="1"/>
  <c r="F57" i="33" s="1"/>
  <c r="N57" i="33" s="1"/>
  <c r="F58" i="30"/>
  <c r="N58" i="30" s="1"/>
  <c r="F58" i="31" s="1"/>
  <c r="N58" i="31" s="1"/>
  <c r="F58" i="32" s="1"/>
  <c r="N58" i="32" s="1"/>
  <c r="F58" i="33" s="1"/>
  <c r="N58" i="33" s="1"/>
  <c r="F59" i="30"/>
  <c r="N59" i="30" s="1"/>
  <c r="F59" i="31" s="1"/>
  <c r="N59" i="31" s="1"/>
  <c r="F59" i="32" s="1"/>
  <c r="N59" i="32" s="1"/>
  <c r="F59" i="33" s="1"/>
  <c r="N59" i="33" s="1"/>
  <c r="A70" i="34"/>
  <c r="B79" i="34"/>
  <c r="C88" i="34"/>
  <c r="D97" i="34"/>
  <c r="E9" i="34"/>
  <c r="F18" i="34"/>
  <c r="F19" i="30"/>
  <c r="N19" i="30" s="1"/>
  <c r="F19" i="31" s="1"/>
  <c r="N19" i="31" s="1"/>
  <c r="F20" i="30"/>
  <c r="N20" i="30" s="1"/>
  <c r="F20" i="31" s="1"/>
  <c r="N20" i="31" s="1"/>
  <c r="F21" i="30"/>
  <c r="N21" i="30" s="1"/>
  <c r="F21" i="31" s="1"/>
  <c r="N21" i="31" s="1"/>
  <c r="F21" i="32" s="1"/>
  <c r="N21" i="32" s="1"/>
  <c r="F21" i="33" s="1"/>
  <c r="N21" i="33" s="1"/>
  <c r="F22" i="30"/>
  <c r="N22" i="30" s="1"/>
  <c r="F22" i="31" s="1"/>
  <c r="N22" i="31" s="1"/>
  <c r="F22" i="32" s="1"/>
  <c r="N22" i="32" s="1"/>
  <c r="F22" i="33" s="1"/>
  <c r="N22" i="33" s="1"/>
  <c r="F22" i="34" s="1"/>
  <c r="F23" i="30"/>
  <c r="N23" i="30" s="1"/>
  <c r="F23" i="31" s="1"/>
  <c r="N23" i="31" s="1"/>
  <c r="F23" i="32" s="1"/>
  <c r="N23" i="32" s="1"/>
  <c r="F23" i="33" s="1"/>
  <c r="N23" i="33" s="1"/>
  <c r="O23" i="33" s="1"/>
  <c r="G23" i="34" s="1"/>
  <c r="F24" i="30"/>
  <c r="N24" i="30" s="1"/>
  <c r="F24" i="31" s="1"/>
  <c r="N24" i="31" s="1"/>
  <c r="F24" i="32" s="1"/>
  <c r="N24" i="32" s="1"/>
  <c r="F24" i="33" s="1"/>
  <c r="N24" i="33" s="1"/>
  <c r="F24" i="34" s="1"/>
  <c r="F25" i="30"/>
  <c r="N25" i="30" s="1"/>
  <c r="F25" i="31" s="1"/>
  <c r="N25" i="31" s="1"/>
  <c r="F25" i="32" s="1"/>
  <c r="N25" i="32" s="1"/>
  <c r="F25" i="33" s="1"/>
  <c r="N25" i="33" s="1"/>
  <c r="F26" i="30"/>
  <c r="N26" i="30" s="1"/>
  <c r="F26" i="31" s="1"/>
  <c r="N26" i="31" s="1"/>
  <c r="F26" i="32" s="1"/>
  <c r="N26" i="32" s="1"/>
  <c r="F26" i="33" s="1"/>
  <c r="N26" i="33" s="1"/>
  <c r="A37" i="34"/>
  <c r="B46" i="34"/>
  <c r="C55" i="34"/>
  <c r="D64" i="34"/>
  <c r="E73" i="34"/>
  <c r="F74" i="30"/>
  <c r="N74" i="30" s="1"/>
  <c r="F74" i="31" s="1"/>
  <c r="N74" i="31" s="1"/>
  <c r="F74" i="32" s="1"/>
  <c r="N74" i="32" s="1"/>
  <c r="F75" i="30"/>
  <c r="N75" i="30" s="1"/>
  <c r="F75" i="31" s="1"/>
  <c r="N75" i="31" s="1"/>
  <c r="F75" i="32" s="1"/>
  <c r="N75" i="32" s="1"/>
  <c r="F75" i="33" s="1"/>
  <c r="N75" i="33" s="1"/>
  <c r="F76" i="30"/>
  <c r="N76" i="30" s="1"/>
  <c r="F76" i="31" s="1"/>
  <c r="N76" i="31" s="1"/>
  <c r="F76" i="32" s="1"/>
  <c r="N76" i="32" s="1"/>
  <c r="F76" i="33" s="1"/>
  <c r="N76" i="33" s="1"/>
  <c r="O76" i="33" s="1"/>
  <c r="F77" i="30"/>
  <c r="N77" i="30" s="1"/>
  <c r="F77" i="31" s="1"/>
  <c r="N77" i="31" s="1"/>
  <c r="F77" i="32" s="1"/>
  <c r="N77" i="32" s="1"/>
  <c r="F77" i="33" s="1"/>
  <c r="N77" i="33" s="1"/>
  <c r="F78" i="30"/>
  <c r="N78" i="30" s="1"/>
  <c r="F78" i="31" s="1"/>
  <c r="N78" i="31" s="1"/>
  <c r="F78" i="32" s="1"/>
  <c r="N78" i="32" s="1"/>
  <c r="F78" i="33" s="1"/>
  <c r="N78" i="33" s="1"/>
  <c r="F78" i="34" s="1"/>
  <c r="F79" i="30"/>
  <c r="N79" i="30" s="1"/>
  <c r="F79" i="31" s="1"/>
  <c r="N79" i="31" s="1"/>
  <c r="F79" i="32" s="1"/>
  <c r="N79" i="32" s="1"/>
  <c r="F79" i="33" s="1"/>
  <c r="N79" i="33" s="1"/>
  <c r="F80" i="30"/>
  <c r="N80" i="30" s="1"/>
  <c r="F80" i="31" s="1"/>
  <c r="N80" i="31" s="1"/>
  <c r="F80" i="32" s="1"/>
  <c r="N80" i="32" s="1"/>
  <c r="F80" i="33" s="1"/>
  <c r="N80" i="33" s="1"/>
  <c r="F81" i="30"/>
  <c r="N81" i="30" s="1"/>
  <c r="F81" i="31" s="1"/>
  <c r="N81" i="31" s="1"/>
  <c r="F81" i="32" s="1"/>
  <c r="N81" i="32" s="1"/>
  <c r="F91" i="30"/>
  <c r="N91" i="30" s="1"/>
  <c r="F91" i="31" s="1"/>
  <c r="N91" i="31" s="1"/>
  <c r="F91" i="32" s="1"/>
  <c r="N91" i="32" s="1"/>
  <c r="C6" i="34"/>
  <c r="D15" i="34"/>
  <c r="E24" i="34"/>
  <c r="F33" i="30"/>
  <c r="N33" i="30" s="1"/>
  <c r="F33" i="31" s="1"/>
  <c r="N33" i="31" s="1"/>
  <c r="F42" i="30"/>
  <c r="N42" i="30" s="1"/>
  <c r="F42" i="31" s="1"/>
  <c r="N42" i="31" s="1"/>
  <c r="F42" i="32" s="1"/>
  <c r="N42" i="32" s="1"/>
  <c r="F42" i="33" s="1"/>
  <c r="N42" i="33" s="1"/>
  <c r="A52" i="34"/>
  <c r="B61" i="34"/>
  <c r="C70" i="34"/>
  <c r="D79" i="34"/>
  <c r="E88" i="34"/>
  <c r="F97" i="30"/>
  <c r="N97" i="30" s="1"/>
  <c r="F97" i="31" s="1"/>
  <c r="N97" i="31" s="1"/>
  <c r="F97" i="32" s="1"/>
  <c r="N97" i="32" s="1"/>
  <c r="D14" i="34"/>
  <c r="E23" i="34"/>
  <c r="F32" i="30"/>
  <c r="N32" i="30" s="1"/>
  <c r="F32" i="31" s="1"/>
  <c r="N32" i="31" s="1"/>
  <c r="F32" i="32" s="1"/>
  <c r="N32" i="32" s="1"/>
  <c r="F32" i="33" s="1"/>
  <c r="N32" i="33" s="1"/>
  <c r="F41" i="30"/>
  <c r="N41" i="30" s="1"/>
  <c r="F41" i="31" s="1"/>
  <c r="N41" i="31" s="1"/>
  <c r="F41" i="32" s="1"/>
  <c r="N41" i="32" s="1"/>
  <c r="F41" i="33" s="1"/>
  <c r="N41" i="33" s="1"/>
  <c r="F41" i="34" s="1"/>
  <c r="A51" i="34"/>
  <c r="B60" i="34"/>
  <c r="A10" i="34"/>
  <c r="B19" i="34"/>
  <c r="A40" i="34"/>
  <c r="C58" i="34"/>
  <c r="C74" i="34"/>
  <c r="A89" i="34"/>
  <c r="D102" i="34"/>
  <c r="E111" i="34"/>
  <c r="F120" i="30"/>
  <c r="N120" i="30" s="1"/>
  <c r="F120" i="31" s="1"/>
  <c r="N120" i="31" s="1"/>
  <c r="F120" i="32" s="1"/>
  <c r="N120" i="32" s="1"/>
  <c r="F120" i="33" s="1"/>
  <c r="N120" i="33" s="1"/>
  <c r="F35" i="30"/>
  <c r="N35" i="30" s="1"/>
  <c r="F35" i="31" s="1"/>
  <c r="N35" i="31" s="1"/>
  <c r="F35" i="32" s="1"/>
  <c r="N35" i="32" s="1"/>
  <c r="F35" i="33" s="1"/>
  <c r="N35" i="33" s="1"/>
  <c r="F46" i="30"/>
  <c r="N46" i="30" s="1"/>
  <c r="F46" i="31" s="1"/>
  <c r="N46" i="31" s="1"/>
  <c r="F46" i="32" s="1"/>
  <c r="N46" i="32" s="1"/>
  <c r="F68" i="30"/>
  <c r="N68" i="30" s="1"/>
  <c r="F68" i="31" s="1"/>
  <c r="N68" i="31" s="1"/>
  <c r="F68" i="32" s="1"/>
  <c r="N68" i="32" s="1"/>
  <c r="F68" i="33" s="1"/>
  <c r="N68" i="33" s="1"/>
  <c r="F30" i="30"/>
  <c r="N30" i="30" s="1"/>
  <c r="F30" i="31" s="1"/>
  <c r="N30" i="31" s="1"/>
  <c r="F30" i="32" s="1"/>
  <c r="N30" i="32" s="1"/>
  <c r="F30" i="33" s="1"/>
  <c r="N30" i="33" s="1"/>
  <c r="F31" i="30"/>
  <c r="N31" i="30" s="1"/>
  <c r="F31" i="31" s="1"/>
  <c r="N31" i="31" s="1"/>
  <c r="F31" i="32" s="1"/>
  <c r="N31" i="32" s="1"/>
  <c r="F31" i="33" s="1"/>
  <c r="N31" i="33" s="1"/>
  <c r="F34" i="30"/>
  <c r="N34" i="30" s="1"/>
  <c r="F34" i="31" s="1"/>
  <c r="N34" i="31" s="1"/>
  <c r="F34" i="32" s="1"/>
  <c r="N34" i="32" s="1"/>
  <c r="F34" i="33" s="1"/>
  <c r="N34" i="33" s="1"/>
  <c r="F36" i="30"/>
  <c r="N36" i="30" s="1"/>
  <c r="F36" i="31" s="1"/>
  <c r="N36" i="31" s="1"/>
  <c r="F36" i="32" s="1"/>
  <c r="N36" i="32" s="1"/>
  <c r="F36" i="33" s="1"/>
  <c r="N36" i="33" s="1"/>
  <c r="F36" i="34" s="1"/>
  <c r="F37" i="30"/>
  <c r="N37" i="30" s="1"/>
  <c r="F37" i="31" s="1"/>
  <c r="N37" i="31" s="1"/>
  <c r="F37" i="32" s="1"/>
  <c r="N37" i="32" s="1"/>
  <c r="F37" i="33" s="1"/>
  <c r="N37" i="33" s="1"/>
  <c r="F37" i="34" s="1"/>
  <c r="F43" i="30"/>
  <c r="N43" i="30" s="1"/>
  <c r="F43" i="31" s="1"/>
  <c r="N43" i="31" s="1"/>
  <c r="F43" i="32" s="1"/>
  <c r="N43" i="32" s="1"/>
  <c r="F43" i="33" s="1"/>
  <c r="N43" i="33" s="1"/>
  <c r="F44" i="30"/>
  <c r="N44" i="30" s="1"/>
  <c r="F44" i="31" s="1"/>
  <c r="N44" i="31" s="1"/>
  <c r="F44" i="32" s="1"/>
  <c r="N44" i="32" s="1"/>
  <c r="F44" i="33" s="1"/>
  <c r="N44" i="33" s="1"/>
  <c r="F45" i="30"/>
  <c r="N45" i="30" s="1"/>
  <c r="F45" i="31" s="1"/>
  <c r="N45" i="31" s="1"/>
  <c r="F45" i="32" s="1"/>
  <c r="N45" i="32" s="1"/>
  <c r="F45" i="33" s="1"/>
  <c r="N45" i="33" s="1"/>
  <c r="F47" i="30"/>
  <c r="N47" i="30" s="1"/>
  <c r="F47" i="31" s="1"/>
  <c r="N47" i="31" s="1"/>
  <c r="F48" i="30"/>
  <c r="N48" i="30" s="1"/>
  <c r="F48" i="31" s="1"/>
  <c r="N48" i="31" s="1"/>
  <c r="F48" i="32" s="1"/>
  <c r="N48" i="32" s="1"/>
  <c r="F48" i="33" s="1"/>
  <c r="N48" i="33" s="1"/>
  <c r="F48" i="34" s="1"/>
  <c r="F52" i="30"/>
  <c r="N52" i="30" s="1"/>
  <c r="F52" i="31" s="1"/>
  <c r="N52" i="31" s="1"/>
  <c r="F52" i="32" s="1"/>
  <c r="N52" i="32" s="1"/>
  <c r="F52" i="33" s="1"/>
  <c r="N52" i="33" s="1"/>
  <c r="O52" i="33" s="1"/>
  <c r="F63" i="30"/>
  <c r="N63" i="30" s="1"/>
  <c r="F63" i="31" s="1"/>
  <c r="N63" i="31" s="1"/>
  <c r="F63" i="32" s="1"/>
  <c r="N63" i="32" s="1"/>
  <c r="F63" i="33" s="1"/>
  <c r="N63" i="33" s="1"/>
  <c r="O63" i="33" s="1"/>
  <c r="G63" i="34" s="1"/>
  <c r="F64" i="30"/>
  <c r="N64" i="30" s="1"/>
  <c r="F64" i="31" s="1"/>
  <c r="N64" i="31" s="1"/>
  <c r="F64" i="32" s="1"/>
  <c r="N64" i="32" s="1"/>
  <c r="F64" i="33" s="1"/>
  <c r="N64" i="33" s="1"/>
  <c r="O64" i="33" s="1"/>
  <c r="G64" i="34" s="1"/>
  <c r="F65" i="30"/>
  <c r="N65" i="30" s="1"/>
  <c r="F65" i="31" s="1"/>
  <c r="N65" i="31" s="1"/>
  <c r="F65" i="32" s="1"/>
  <c r="N65" i="32" s="1"/>
  <c r="F65" i="33" s="1"/>
  <c r="N65" i="33" s="1"/>
  <c r="F65" i="34" s="1"/>
  <c r="F66" i="30"/>
  <c r="N66" i="30" s="1"/>
  <c r="F66" i="31" s="1"/>
  <c r="N66" i="31" s="1"/>
  <c r="F66" i="32" s="1"/>
  <c r="N66" i="32" s="1"/>
  <c r="F66" i="33" s="1"/>
  <c r="N66" i="33" s="1"/>
  <c r="F66" i="34" s="1"/>
  <c r="F67" i="30"/>
  <c r="N67" i="30" s="1"/>
  <c r="F67" i="31" s="1"/>
  <c r="N67" i="31" s="1"/>
  <c r="F67" i="32" s="1"/>
  <c r="N67" i="32" s="1"/>
  <c r="F67" i="33" s="1"/>
  <c r="N67" i="33" s="1"/>
  <c r="F67" i="34" s="1"/>
  <c r="F69" i="30"/>
  <c r="N69" i="30" s="1"/>
  <c r="F69" i="31" s="1"/>
  <c r="N69" i="31" s="1"/>
  <c r="F69" i="32" s="1"/>
  <c r="N69" i="32" s="1"/>
  <c r="F69" i="33" s="1"/>
  <c r="N69" i="33" s="1"/>
  <c r="O69" i="33" s="1"/>
  <c r="F70" i="30"/>
  <c r="N70" i="30" s="1"/>
  <c r="F70" i="31" s="1"/>
  <c r="N70" i="31" s="1"/>
  <c r="F70" i="32" s="1"/>
  <c r="N70" i="32" s="1"/>
  <c r="F70" i="33" s="1"/>
  <c r="N70" i="33" s="1"/>
  <c r="O70" i="33" s="1"/>
  <c r="G70" i="34" s="1"/>
  <c r="F85" i="30"/>
  <c r="N85" i="30" s="1"/>
  <c r="F85" i="31" s="1"/>
  <c r="N85" i="31" s="1"/>
  <c r="F86" i="30"/>
  <c r="N86" i="30" s="1"/>
  <c r="F86" i="31" s="1"/>
  <c r="N86" i="31" s="1"/>
  <c r="F86" i="32" s="1"/>
  <c r="N86" i="32" s="1"/>
  <c r="F86" i="33" s="1"/>
  <c r="N86" i="33" s="1"/>
  <c r="F87" i="30"/>
  <c r="N87" i="30" s="1"/>
  <c r="F87" i="31" s="1"/>
  <c r="N87" i="31" s="1"/>
  <c r="F87" i="32" s="1"/>
  <c r="N87" i="32" s="1"/>
  <c r="F87" i="33" s="1"/>
  <c r="N87" i="33" s="1"/>
  <c r="O87" i="33" s="1"/>
  <c r="G87" i="34" s="1"/>
  <c r="F88" i="30"/>
  <c r="N88" i="30" s="1"/>
  <c r="F88" i="31" s="1"/>
  <c r="N88" i="31" s="1"/>
  <c r="F88" i="32" s="1"/>
  <c r="N88" i="32" s="1"/>
  <c r="F88" i="33" s="1"/>
  <c r="N88" i="33" s="1"/>
  <c r="F89" i="30"/>
  <c r="N89" i="30" s="1"/>
  <c r="F89" i="31" s="1"/>
  <c r="N89" i="31" s="1"/>
  <c r="F89" i="32" s="1"/>
  <c r="N89" i="32" s="1"/>
  <c r="F89" i="33" s="1"/>
  <c r="N89" i="33" s="1"/>
  <c r="F90" i="30"/>
  <c r="N90" i="30" s="1"/>
  <c r="F90" i="31" s="1"/>
  <c r="N90" i="31" s="1"/>
  <c r="F90" i="32" s="1"/>
  <c r="N90" i="32" s="1"/>
  <c r="F90" i="33" s="1"/>
  <c r="N90" i="33" s="1"/>
  <c r="F92" i="30"/>
  <c r="N92" i="30" s="1"/>
  <c r="F92" i="31" s="1"/>
  <c r="N92" i="31" s="1"/>
  <c r="F92" i="32" s="1"/>
  <c r="N92" i="32" s="1"/>
  <c r="F92" i="33" s="1"/>
  <c r="N92" i="33" s="1"/>
  <c r="F96" i="30"/>
  <c r="N96" i="30" s="1"/>
  <c r="F96" i="31" s="1"/>
  <c r="N96" i="31" s="1"/>
  <c r="F98" i="30"/>
  <c r="N98" i="30" s="1"/>
  <c r="F98" i="31" s="1"/>
  <c r="N98" i="31" s="1"/>
  <c r="F98" i="32" s="1"/>
  <c r="N98" i="32" s="1"/>
  <c r="F98" i="33" s="1"/>
  <c r="N98" i="33" s="1"/>
  <c r="F99" i="30"/>
  <c r="N99" i="30" s="1"/>
  <c r="F99" i="31" s="1"/>
  <c r="N99" i="31" s="1"/>
  <c r="F99" i="32" s="1"/>
  <c r="N99" i="32" s="1"/>
  <c r="F99" i="33" s="1"/>
  <c r="N99" i="33" s="1"/>
  <c r="F100" i="30"/>
  <c r="N100" i="30" s="1"/>
  <c r="F100" i="31" s="1"/>
  <c r="N100" i="31" s="1"/>
  <c r="F100" i="32" s="1"/>
  <c r="N100" i="32" s="1"/>
  <c r="F101" i="30"/>
  <c r="N101" i="30" s="1"/>
  <c r="F101" i="31" s="1"/>
  <c r="N101" i="31" s="1"/>
  <c r="F101" i="32" s="1"/>
  <c r="N101" i="32" s="1"/>
  <c r="F101" i="33" s="1"/>
  <c r="N101" i="33" s="1"/>
  <c r="F101" i="34" s="1"/>
  <c r="F102" i="30"/>
  <c r="N102" i="30" s="1"/>
  <c r="F102" i="31" s="1"/>
  <c r="N102" i="31" s="1"/>
  <c r="F102" i="32" s="1"/>
  <c r="N102" i="32" s="1"/>
  <c r="F102" i="33" s="1"/>
  <c r="N102" i="33" s="1"/>
  <c r="F103" i="30"/>
  <c r="N103" i="30" s="1"/>
  <c r="F103" i="31" s="1"/>
  <c r="N103" i="31" s="1"/>
  <c r="F103" i="32" s="1"/>
  <c r="N103" i="32" s="1"/>
  <c r="F103" i="33" s="1"/>
  <c r="N103" i="33" s="1"/>
  <c r="F107" i="30"/>
  <c r="N107" i="30" s="1"/>
  <c r="F107" i="31" s="1"/>
  <c r="N107" i="31" s="1"/>
  <c r="F107" i="32" s="1"/>
  <c r="N107" i="32" s="1"/>
  <c r="F107" i="33" s="1"/>
  <c r="N107" i="33" s="1"/>
  <c r="F108" i="30"/>
  <c r="N108" i="30" s="1"/>
  <c r="F108" i="31" s="1"/>
  <c r="N108" i="31" s="1"/>
  <c r="F108" i="32" s="1"/>
  <c r="N108" i="32" s="1"/>
  <c r="F108" i="33" s="1"/>
  <c r="N108" i="33" s="1"/>
  <c r="F109" i="30"/>
  <c r="N109" i="30" s="1"/>
  <c r="F109" i="31" s="1"/>
  <c r="N109" i="31" s="1"/>
  <c r="F109" i="32" s="1"/>
  <c r="N109" i="32" s="1"/>
  <c r="F109" i="33" s="1"/>
  <c r="N109" i="33" s="1"/>
  <c r="F110" i="30"/>
  <c r="N110" i="30" s="1"/>
  <c r="F110" i="31" s="1"/>
  <c r="N110" i="31" s="1"/>
  <c r="F110" i="32" s="1"/>
  <c r="N110" i="32" s="1"/>
  <c r="F110" i="33" s="1"/>
  <c r="N110" i="33" s="1"/>
  <c r="F111" i="30"/>
  <c r="N111" i="30" s="1"/>
  <c r="F111" i="31" s="1"/>
  <c r="N111" i="31" s="1"/>
  <c r="F111" i="32" s="1"/>
  <c r="N111" i="32" s="1"/>
  <c r="F112" i="30"/>
  <c r="N112" i="30" s="1"/>
  <c r="F112" i="31" s="1"/>
  <c r="N112" i="31" s="1"/>
  <c r="F112" i="32" s="1"/>
  <c r="N112" i="32" s="1"/>
  <c r="F112" i="33" s="1"/>
  <c r="N112" i="33" s="1"/>
  <c r="F113" i="30"/>
  <c r="N113" i="30" s="1"/>
  <c r="F113" i="31" s="1"/>
  <c r="N113" i="31" s="1"/>
  <c r="F113" i="32" s="1"/>
  <c r="N113" i="32" s="1"/>
  <c r="F113" i="33" s="1"/>
  <c r="N113" i="33" s="1"/>
  <c r="F114" i="30"/>
  <c r="N114" i="30" s="1"/>
  <c r="F114" i="31" s="1"/>
  <c r="N114" i="31" s="1"/>
  <c r="F114" i="32" s="1"/>
  <c r="N114" i="32" s="1"/>
  <c r="F114" i="33" s="1"/>
  <c r="N114" i="33" s="1"/>
  <c r="O114" i="33" s="1"/>
  <c r="G114" i="34" s="1"/>
  <c r="F118" i="30"/>
  <c r="N118" i="30" s="1"/>
  <c r="F118" i="31" s="1"/>
  <c r="N118" i="31" s="1"/>
  <c r="F118" i="32" s="1"/>
  <c r="N118" i="32" s="1"/>
  <c r="F118" i="33" s="1"/>
  <c r="N118" i="33" s="1"/>
  <c r="F118" i="34" s="1"/>
  <c r="F119" i="30"/>
  <c r="N119" i="30" s="1"/>
  <c r="F119" i="31" s="1"/>
  <c r="N119" i="31" s="1"/>
  <c r="F119" i="32" s="1"/>
  <c r="N119" i="32" s="1"/>
  <c r="F119" i="33" s="1"/>
  <c r="N119" i="33" s="1"/>
  <c r="F121" i="30"/>
  <c r="N121" i="30" s="1"/>
  <c r="F121" i="31" s="1"/>
  <c r="N121" i="31" s="1"/>
  <c r="F121" i="32" s="1"/>
  <c r="N121" i="32" s="1"/>
  <c r="F121" i="33" s="1"/>
  <c r="N121" i="33" s="1"/>
  <c r="F122" i="30"/>
  <c r="N122" i="30" s="1"/>
  <c r="F122" i="31" s="1"/>
  <c r="N122" i="31" s="1"/>
  <c r="F122" i="32" s="1"/>
  <c r="N122" i="32" s="1"/>
  <c r="F122" i="33" s="1"/>
  <c r="N122" i="33" s="1"/>
  <c r="O122" i="33" s="1"/>
  <c r="G122" i="34" s="1"/>
  <c r="F123" i="30"/>
  <c r="N123" i="30" s="1"/>
  <c r="F123" i="31" s="1"/>
  <c r="N123" i="31" s="1"/>
  <c r="F123" i="32" s="1"/>
  <c r="N123" i="32" s="1"/>
  <c r="F123" i="33" s="1"/>
  <c r="N123" i="33" s="1"/>
  <c r="F124" i="30"/>
  <c r="N124" i="30" s="1"/>
  <c r="F124" i="31" s="1"/>
  <c r="N124" i="31" s="1"/>
  <c r="F124" i="32" s="1"/>
  <c r="N124" i="32" s="1"/>
  <c r="F124" i="33" s="1"/>
  <c r="N124" i="33" s="1"/>
  <c r="F125" i="30"/>
  <c r="N125" i="30" s="1"/>
  <c r="F125" i="31" s="1"/>
  <c r="N125" i="31" s="1"/>
  <c r="F125" i="32" s="1"/>
  <c r="N125" i="32" s="1"/>
  <c r="F125" i="33" s="1"/>
  <c r="N125" i="33" s="1"/>
  <c r="C33" i="34"/>
  <c r="E51" i="34"/>
  <c r="C69" i="34"/>
  <c r="E83" i="34"/>
  <c r="C98" i="34"/>
  <c r="C108" i="34"/>
  <c r="D117" i="34"/>
  <c r="E126" i="34"/>
  <c r="C10" i="34"/>
  <c r="A50" i="34"/>
  <c r="D67" i="34"/>
  <c r="B82" i="34"/>
  <c r="C107" i="34"/>
  <c r="D116" i="34"/>
  <c r="E125" i="34"/>
  <c r="C83" i="34"/>
  <c r="B34" i="34"/>
  <c r="D52" i="34"/>
  <c r="E69" i="34"/>
  <c r="C84" i="34"/>
  <c r="E108" i="34"/>
  <c r="F117" i="34"/>
  <c r="C85" i="34"/>
  <c r="B17" i="34"/>
  <c r="E36" i="34"/>
  <c r="D86" i="34"/>
  <c r="D100" i="34"/>
  <c r="A119" i="34"/>
  <c r="B7" i="34"/>
  <c r="C16" i="34"/>
  <c r="D25" i="34"/>
  <c r="E34" i="34"/>
  <c r="A62" i="34"/>
  <c r="B71" i="34"/>
  <c r="C80" i="34"/>
  <c r="D89" i="34"/>
  <c r="E98" i="34"/>
  <c r="A29" i="34"/>
  <c r="B38" i="34"/>
  <c r="C47" i="34"/>
  <c r="D56" i="34"/>
  <c r="E65" i="34"/>
  <c r="G83" i="34"/>
  <c r="A93" i="34"/>
  <c r="D7" i="34"/>
  <c r="E16" i="34"/>
  <c r="A44" i="34"/>
  <c r="B53" i="34"/>
  <c r="C62" i="34"/>
  <c r="D71" i="34"/>
  <c r="E80" i="34"/>
  <c r="D6" i="34"/>
  <c r="E15" i="34"/>
  <c r="A43" i="34"/>
  <c r="B52" i="34"/>
  <c r="C61" i="34"/>
  <c r="B11" i="34"/>
  <c r="C20" i="34"/>
  <c r="A24" i="34"/>
  <c r="C42" i="34"/>
  <c r="E60" i="34"/>
  <c r="C76" i="34"/>
  <c r="A91" i="34"/>
  <c r="E103" i="34"/>
  <c r="A16" i="34"/>
  <c r="E35" i="34"/>
  <c r="E85" i="34"/>
  <c r="A100" i="34"/>
  <c r="D109" i="34"/>
  <c r="E118" i="34"/>
  <c r="E13" i="34"/>
  <c r="A34" i="34"/>
  <c r="C52" i="34"/>
  <c r="D69" i="34"/>
  <c r="B84" i="34"/>
  <c r="D98" i="34"/>
  <c r="D108" i="34"/>
  <c r="E117" i="34"/>
  <c r="D94" i="34"/>
  <c r="A17" i="34"/>
  <c r="D36" i="34"/>
  <c r="E71" i="34"/>
  <c r="C100" i="34"/>
  <c r="E21" i="34"/>
  <c r="A96" i="34"/>
  <c r="D20" i="34"/>
  <c r="B57" i="34"/>
  <c r="C73" i="34"/>
  <c r="A88" i="34"/>
  <c r="A111" i="34"/>
  <c r="C8" i="34"/>
  <c r="D17" i="34"/>
  <c r="E26" i="34"/>
  <c r="A54" i="34"/>
  <c r="B63" i="34"/>
  <c r="C72" i="34"/>
  <c r="D81" i="34"/>
  <c r="E90" i="34"/>
  <c r="A21" i="34"/>
  <c r="B30" i="34"/>
  <c r="C39" i="34"/>
  <c r="D48" i="34"/>
  <c r="E57" i="34"/>
  <c r="A85" i="34"/>
  <c r="B94" i="34"/>
  <c r="E8" i="34"/>
  <c r="F17" i="34"/>
  <c r="A36" i="34"/>
  <c r="B45" i="34"/>
  <c r="C54" i="34"/>
  <c r="D63" i="34"/>
  <c r="E72" i="34"/>
  <c r="E7" i="34"/>
  <c r="F16" i="34"/>
  <c r="A35" i="34"/>
  <c r="B44" i="34"/>
  <c r="C53" i="34"/>
  <c r="D62" i="34"/>
  <c r="C12" i="34"/>
  <c r="D21" i="34"/>
  <c r="C26" i="34"/>
  <c r="E44" i="34"/>
  <c r="G62" i="34"/>
  <c r="E92" i="34"/>
  <c r="A123" i="34"/>
  <c r="C19" i="34"/>
  <c r="B56" i="34"/>
  <c r="G72" i="34"/>
  <c r="E87" i="34"/>
  <c r="C101" i="34"/>
  <c r="E110" i="34"/>
  <c r="B26" i="34"/>
  <c r="A98" i="34"/>
  <c r="B16" i="34"/>
  <c r="C36" i="34"/>
  <c r="E54" i="34"/>
  <c r="A71" i="34"/>
  <c r="B100" i="34"/>
  <c r="E109" i="34"/>
  <c r="C18" i="34"/>
  <c r="C102" i="34"/>
  <c r="E19" i="34"/>
  <c r="A57" i="34"/>
  <c r="B73" i="34"/>
  <c r="E101" i="34"/>
  <c r="A120" i="34"/>
  <c r="D28" i="34"/>
  <c r="D103" i="34"/>
  <c r="B41" i="34"/>
  <c r="D59" i="34"/>
  <c r="C75" i="34"/>
  <c r="A90" i="34"/>
  <c r="A103" i="34"/>
  <c r="B112" i="34"/>
  <c r="C121" i="34"/>
  <c r="D9" i="34"/>
  <c r="E18" i="34"/>
  <c r="A46" i="34"/>
  <c r="B55" i="34"/>
  <c r="C64" i="34"/>
  <c r="D73" i="34"/>
  <c r="E82" i="34"/>
  <c r="A13" i="34"/>
  <c r="B22" i="34"/>
  <c r="C31" i="34"/>
  <c r="D40" i="34"/>
  <c r="E49" i="34"/>
  <c r="A77" i="34"/>
  <c r="B86" i="34"/>
  <c r="C95" i="34"/>
  <c r="G18" i="34"/>
  <c r="A28" i="34"/>
  <c r="B37" i="34"/>
  <c r="C46" i="34"/>
  <c r="D55" i="34"/>
  <c r="E64" i="34"/>
  <c r="F73" i="34"/>
  <c r="A92" i="34"/>
  <c r="G17" i="34"/>
  <c r="A27" i="34"/>
  <c r="B36" i="34"/>
  <c r="C45" i="34"/>
  <c r="D54" i="34"/>
  <c r="E63" i="34"/>
  <c r="D13" i="34"/>
  <c r="F6" i="34"/>
  <c r="E28" i="34"/>
  <c r="B65" i="34"/>
  <c r="E94" i="34"/>
  <c r="G105" i="34"/>
  <c r="A115" i="34"/>
  <c r="B124" i="34"/>
  <c r="B40" i="34"/>
  <c r="D58" i="34"/>
  <c r="D74" i="34"/>
  <c r="B89" i="34"/>
  <c r="E102" i="34"/>
  <c r="C35" i="34"/>
  <c r="E104" i="34"/>
  <c r="D19" i="34"/>
  <c r="E38" i="34"/>
  <c r="A73" i="34"/>
  <c r="D101" i="34"/>
  <c r="A33" i="34"/>
  <c r="B109" i="34"/>
  <c r="A41" i="34"/>
  <c r="C59" i="34"/>
  <c r="B75" i="34"/>
  <c r="A112" i="34"/>
  <c r="B121" i="34"/>
  <c r="E37" i="34"/>
  <c r="D111" i="34"/>
  <c r="B25" i="34"/>
  <c r="D43" i="34"/>
  <c r="F61" i="34"/>
  <c r="C77" i="34"/>
  <c r="E91" i="34"/>
  <c r="B104" i="34"/>
  <c r="C113" i="34"/>
  <c r="D122" i="34"/>
  <c r="E10" i="34"/>
  <c r="G28" i="34"/>
  <c r="A38" i="34"/>
  <c r="B47" i="34"/>
  <c r="C56" i="34"/>
  <c r="D65" i="34"/>
  <c r="E74" i="34"/>
  <c r="F83" i="34"/>
  <c r="A102" i="34"/>
  <c r="B14" i="34"/>
  <c r="C23" i="34"/>
  <c r="D32" i="34"/>
  <c r="E41" i="34"/>
  <c r="F50" i="34"/>
  <c r="A69" i="34"/>
  <c r="B78" i="34"/>
  <c r="C87" i="34"/>
  <c r="D96" i="34"/>
  <c r="A20" i="34"/>
  <c r="B29" i="34"/>
  <c r="C38" i="34"/>
  <c r="D47" i="34"/>
  <c r="E56" i="34"/>
  <c r="A84" i="34"/>
  <c r="B93" i="34"/>
  <c r="A19" i="34"/>
  <c r="B28" i="34"/>
  <c r="C37" i="34"/>
  <c r="D46" i="34"/>
  <c r="E55" i="34"/>
  <c r="E14" i="34"/>
  <c r="C9" i="34"/>
  <c r="B49" i="34"/>
  <c r="B67" i="34"/>
  <c r="B96" i="34"/>
  <c r="A107" i="34"/>
  <c r="B116" i="34"/>
  <c r="C125" i="34"/>
  <c r="B24" i="34"/>
  <c r="D42" i="34"/>
  <c r="D76" i="34"/>
  <c r="B91" i="34"/>
  <c r="A122" i="34"/>
  <c r="D44" i="34"/>
  <c r="C110" i="34"/>
  <c r="E22" i="34"/>
  <c r="G40" i="34"/>
  <c r="B59" i="34"/>
  <c r="A75" i="34"/>
  <c r="C89" i="34"/>
  <c r="A121" i="34"/>
  <c r="B42" i="34"/>
  <c r="A116" i="34"/>
  <c r="A25" i="34"/>
  <c r="C43" i="34"/>
  <c r="E61" i="34"/>
  <c r="D91" i="34"/>
  <c r="A104" i="34"/>
  <c r="B113" i="34"/>
  <c r="C122" i="34"/>
  <c r="A30" i="34"/>
  <c r="B39" i="34"/>
  <c r="C48" i="34"/>
  <c r="D57" i="34"/>
  <c r="E66" i="34"/>
  <c r="G84" i="34"/>
  <c r="A94" i="34"/>
  <c r="B6" i="34"/>
  <c r="C15" i="34"/>
  <c r="D24" i="34"/>
  <c r="E33" i="34"/>
  <c r="G51" i="34"/>
  <c r="A61" i="34"/>
  <c r="B70" i="34"/>
  <c r="C79" i="34"/>
  <c r="D88" i="34"/>
  <c r="E97" i="34"/>
  <c r="A12" i="34"/>
  <c r="B21" i="34"/>
  <c r="C30" i="34"/>
  <c r="D39" i="34"/>
  <c r="E48" i="34"/>
  <c r="A76" i="34"/>
  <c r="B85" i="34"/>
  <c r="C94" i="34"/>
  <c r="A11" i="34"/>
  <c r="B20" i="34"/>
  <c r="C29" i="34"/>
  <c r="D38" i="34"/>
  <c r="E47" i="34"/>
  <c r="E6" i="34"/>
  <c r="E12" i="34"/>
  <c r="B33" i="34"/>
  <c r="D51" i="34"/>
  <c r="D83" i="34"/>
  <c r="B98" i="34"/>
  <c r="B108" i="34"/>
  <c r="C117" i="34"/>
  <c r="D126" i="34"/>
  <c r="D26" i="34"/>
  <c r="A63" i="34"/>
  <c r="D78" i="34"/>
  <c r="A114" i="34"/>
  <c r="B123" i="34"/>
  <c r="E53" i="34"/>
  <c r="B117" i="34"/>
  <c r="B43" i="34"/>
  <c r="D61" i="34"/>
  <c r="E76" i="34"/>
  <c r="C91" i="34"/>
  <c r="A113" i="34"/>
  <c r="B122" i="34"/>
  <c r="C27" i="34"/>
  <c r="E45" i="34"/>
  <c r="D93" i="34"/>
  <c r="B105" i="34"/>
  <c r="C114" i="34"/>
  <c r="D123" i="34"/>
  <c r="B58" i="34"/>
  <c r="A8" i="34"/>
  <c r="F29" i="34"/>
  <c r="A48" i="34"/>
  <c r="B66" i="34"/>
  <c r="E95" i="34"/>
  <c r="D106" i="34"/>
  <c r="E115" i="34"/>
  <c r="D49" i="34"/>
  <c r="A86" i="34"/>
  <c r="E25" i="34"/>
  <c r="B62" i="34"/>
  <c r="E40" i="34"/>
  <c r="B77" i="34"/>
  <c r="C21" i="34"/>
  <c r="D35" i="34"/>
  <c r="E99" i="34"/>
  <c r="F28" i="34"/>
  <c r="F94" i="34"/>
  <c r="F62" i="34"/>
  <c r="B114" i="34"/>
  <c r="E29" i="34"/>
  <c r="A95" i="34"/>
  <c r="C34" i="34"/>
  <c r="D82" i="34"/>
  <c r="D114" i="34"/>
  <c r="A108" i="34"/>
  <c r="E20" i="34"/>
  <c r="A39" i="34"/>
  <c r="C57" i="34"/>
  <c r="G73" i="34"/>
  <c r="B88" i="34"/>
  <c r="B111" i="34"/>
  <c r="C120" i="34"/>
  <c r="B74" i="34"/>
  <c r="E11" i="34"/>
  <c r="B51" i="34"/>
  <c r="D68" i="34"/>
  <c r="B83" i="34"/>
  <c r="A117" i="34"/>
  <c r="B126" i="34"/>
  <c r="D8" i="34"/>
  <c r="D23" i="34"/>
  <c r="F40" i="34"/>
  <c r="E119" i="34"/>
  <c r="D29" i="34"/>
  <c r="E67" i="34"/>
  <c r="B68" i="34"/>
  <c r="C81" i="34"/>
  <c r="D50" i="34"/>
  <c r="A26" i="34"/>
  <c r="E62" i="34"/>
  <c r="D104" i="34"/>
  <c r="A14" i="34"/>
  <c r="E50" i="34"/>
  <c r="B87" i="34"/>
  <c r="C63" i="34"/>
  <c r="C78" i="34"/>
  <c r="D22" i="34"/>
  <c r="A59" i="34"/>
  <c r="B101" i="34"/>
  <c r="A31" i="34"/>
  <c r="E70" i="34"/>
  <c r="C115" i="34"/>
  <c r="A97" i="34"/>
  <c r="E68" i="34"/>
  <c r="D84" i="34"/>
  <c r="F116" i="34"/>
  <c r="G39" i="34"/>
  <c r="A23" i="34"/>
  <c r="C41" i="34"/>
  <c r="E59" i="34"/>
  <c r="D75" i="34"/>
  <c r="B90" i="34"/>
  <c r="B103" i="34"/>
  <c r="C112" i="34"/>
  <c r="D121" i="34"/>
  <c r="B35" i="34"/>
  <c r="D53" i="34"/>
  <c r="D70" i="34"/>
  <c r="F84" i="34"/>
  <c r="C99" i="34"/>
  <c r="A109" i="34"/>
  <c r="B118" i="34"/>
  <c r="D12" i="34"/>
  <c r="A45" i="34"/>
  <c r="G116" i="34"/>
  <c r="A22" i="34"/>
  <c r="E58" i="34"/>
  <c r="B95" i="34"/>
  <c r="C71" i="34"/>
  <c r="B13" i="34"/>
  <c r="C86" i="34"/>
  <c r="D30" i="34"/>
  <c r="C109" i="34"/>
  <c r="A47" i="34"/>
  <c r="A106" i="34"/>
  <c r="A124" i="34"/>
  <c r="E78" i="34"/>
  <c r="C123" i="34"/>
  <c r="C106" i="34"/>
  <c r="C50" i="34"/>
  <c r="E93" i="34"/>
  <c r="G117" i="34"/>
  <c r="C51" i="34"/>
  <c r="E120" i="34"/>
  <c r="C25" i="34"/>
  <c r="E43" i="34"/>
  <c r="G61" i="34"/>
  <c r="D77" i="34"/>
  <c r="B92" i="34"/>
  <c r="C104" i="34"/>
  <c r="D113" i="34"/>
  <c r="E122" i="34"/>
  <c r="D99" i="34"/>
  <c r="B18" i="34"/>
  <c r="D37" i="34"/>
  <c r="A72" i="34"/>
  <c r="B110" i="34"/>
  <c r="C119" i="34"/>
  <c r="D60" i="34"/>
  <c r="B23" i="34"/>
  <c r="C96" i="34"/>
  <c r="D72" i="34"/>
  <c r="C14" i="34"/>
  <c r="G50" i="34"/>
  <c r="D87" i="34"/>
  <c r="E31" i="34"/>
  <c r="A56" i="34"/>
  <c r="D110" i="34"/>
  <c r="C49" i="34"/>
  <c r="B107" i="34"/>
  <c r="A7" i="34"/>
  <c r="B80" i="34"/>
  <c r="D124" i="34"/>
  <c r="B50" i="34"/>
  <c r="D107" i="34"/>
  <c r="D119" i="34"/>
  <c r="E52" i="34"/>
  <c r="B97" i="34"/>
  <c r="B120" i="34"/>
  <c r="A65" i="34"/>
  <c r="C126" i="34"/>
  <c r="E27" i="34"/>
  <c r="B64" i="34"/>
  <c r="A79" i="34"/>
  <c r="D105" i="34"/>
  <c r="E114" i="34"/>
  <c r="G106" i="34"/>
  <c r="F39" i="34"/>
  <c r="A58" i="34"/>
  <c r="A74" i="34"/>
  <c r="B102" i="34"/>
  <c r="C111" i="34"/>
  <c r="D120" i="34"/>
  <c r="D90" i="34"/>
  <c r="E81" i="34"/>
  <c r="E96" i="34"/>
  <c r="F72" i="34"/>
  <c r="C116" i="34"/>
  <c r="B76" i="34"/>
  <c r="B32" i="34"/>
  <c r="A83" i="34"/>
  <c r="A126" i="34"/>
  <c r="C44" i="34"/>
  <c r="C92" i="34"/>
  <c r="B31" i="34"/>
  <c r="C7" i="34"/>
  <c r="D80" i="34"/>
  <c r="C22" i="34"/>
  <c r="D95" i="34"/>
  <c r="E39" i="34"/>
  <c r="G16" i="34"/>
  <c r="D118" i="34"/>
  <c r="C65" i="34"/>
  <c r="B115" i="34"/>
  <c r="B27" i="34"/>
  <c r="C93" i="34"/>
  <c r="A67" i="34"/>
  <c r="A66" i="34"/>
  <c r="D115" i="34"/>
  <c r="C11" i="34"/>
  <c r="A64" i="34"/>
  <c r="A99" i="34"/>
  <c r="E123" i="34"/>
  <c r="B72" i="34"/>
  <c r="B8" i="34"/>
  <c r="G29" i="34"/>
  <c r="B48" i="34"/>
  <c r="C66" i="34"/>
  <c r="A81" i="34"/>
  <c r="F95" i="34"/>
  <c r="E106" i="34"/>
  <c r="E112" i="34"/>
  <c r="A42" i="34"/>
  <c r="C60" i="34"/>
  <c r="E75" i="34"/>
  <c r="C90" i="34"/>
  <c r="C103" i="34"/>
  <c r="D112" i="34"/>
  <c r="E121" i="34"/>
  <c r="F105" i="34"/>
  <c r="C32" i="34"/>
  <c r="A60" i="34"/>
  <c r="A18" i="34"/>
  <c r="C67" i="34"/>
  <c r="G94" i="34"/>
  <c r="E116" i="34"/>
  <c r="C105" i="34"/>
  <c r="D11" i="34"/>
  <c r="C68" i="34"/>
  <c r="C97" i="34"/>
  <c r="C118" i="34"/>
  <c r="E77" i="34"/>
  <c r="E113" i="34"/>
  <c r="C40" i="34"/>
  <c r="D16" i="34"/>
  <c r="A53" i="34"/>
  <c r="E89" i="34"/>
  <c r="D31" i="34"/>
  <c r="A68" i="34"/>
  <c r="B12" i="34"/>
  <c r="D85" i="34"/>
  <c r="G6" i="34"/>
  <c r="A80" i="34"/>
  <c r="C124" i="34"/>
  <c r="D45" i="34"/>
  <c r="A105" i="34"/>
  <c r="E124" i="34"/>
  <c r="D27" i="34"/>
  <c r="E107" i="34"/>
  <c r="D92" i="34"/>
  <c r="D34" i="34"/>
  <c r="E84" i="34"/>
  <c r="B99" i="34"/>
  <c r="A118" i="34"/>
  <c r="B9" i="34"/>
  <c r="C28" i="34"/>
  <c r="E46" i="34"/>
  <c r="E79" i="34"/>
  <c r="E105" i="34"/>
  <c r="B125" i="34"/>
  <c r="D41" i="34"/>
  <c r="A78" i="34"/>
  <c r="E17" i="34"/>
  <c r="B54" i="34"/>
  <c r="E32" i="34"/>
  <c r="B69" i="34"/>
  <c r="C13" i="34"/>
  <c r="D18" i="34"/>
  <c r="A87" i="34"/>
  <c r="B10" i="34"/>
  <c r="A82" i="34"/>
  <c r="D125" i="34"/>
  <c r="B106" i="34"/>
  <c r="D10" i="34"/>
  <c r="C82" i="34"/>
  <c r="A32" i="34"/>
  <c r="A15" i="34"/>
  <c r="A101" i="34"/>
  <c r="C17" i="34"/>
  <c r="A55" i="34"/>
  <c r="E86" i="34"/>
  <c r="E100" i="34"/>
  <c r="A110" i="34"/>
  <c r="B119" i="34"/>
  <c r="A49" i="34"/>
  <c r="A9" i="34"/>
  <c r="E30" i="34"/>
  <c r="D66" i="34"/>
  <c r="B81" i="34"/>
  <c r="G95" i="34"/>
  <c r="F106" i="34"/>
  <c r="A125" i="34"/>
  <c r="E91" i="30"/>
  <c r="M91" i="30" s="1"/>
  <c r="E91" i="31" s="1"/>
  <c r="M91" i="31" s="1"/>
  <c r="E91" i="32" s="1"/>
  <c r="M91" i="32" s="1"/>
  <c r="E91" i="33" s="1"/>
  <c r="E25" i="30"/>
  <c r="M25" i="30" s="1"/>
  <c r="E25" i="31" s="1"/>
  <c r="M25" i="31" s="1"/>
  <c r="E25" i="32" s="1"/>
  <c r="M25" i="32" s="1"/>
  <c r="E36" i="30"/>
  <c r="M36" i="30" s="1"/>
  <c r="E36" i="31" s="1"/>
  <c r="M36" i="31" s="1"/>
  <c r="E47" i="30"/>
  <c r="M47" i="30" s="1"/>
  <c r="E47" i="31" s="1"/>
  <c r="M47" i="31" s="1"/>
  <c r="E47" i="32" s="1"/>
  <c r="M47" i="32" s="1"/>
  <c r="E19" i="30"/>
  <c r="M19" i="30" s="1"/>
  <c r="E19" i="31" s="1"/>
  <c r="M19" i="31" s="1"/>
  <c r="E20" i="30"/>
  <c r="M20" i="30" s="1"/>
  <c r="E20" i="31" s="1"/>
  <c r="M20" i="31" s="1"/>
  <c r="E21" i="30"/>
  <c r="M21" i="30" s="1"/>
  <c r="E21" i="31" s="1"/>
  <c r="M21" i="31" s="1"/>
  <c r="E21" i="32" s="1"/>
  <c r="M21" i="32" s="1"/>
  <c r="E21" i="33" s="1"/>
  <c r="E22" i="30"/>
  <c r="M22" i="30" s="1"/>
  <c r="E22" i="31" s="1"/>
  <c r="M22" i="31" s="1"/>
  <c r="E22" i="32" s="1"/>
  <c r="M22" i="32" s="1"/>
  <c r="E23" i="30"/>
  <c r="M23" i="30" s="1"/>
  <c r="E23" i="31" s="1"/>
  <c r="M23" i="31" s="1"/>
  <c r="E23" i="32" s="1"/>
  <c r="M23" i="32" s="1"/>
  <c r="E24" i="30"/>
  <c r="M24" i="30" s="1"/>
  <c r="E24" i="31" s="1"/>
  <c r="M24" i="31" s="1"/>
  <c r="E24" i="32" s="1"/>
  <c r="M24" i="32" s="1"/>
  <c r="E26" i="30"/>
  <c r="M26" i="30" s="1"/>
  <c r="E26" i="31" s="1"/>
  <c r="M26" i="31" s="1"/>
  <c r="E26" i="32" s="1"/>
  <c r="M26" i="32" s="1"/>
  <c r="E30" i="30"/>
  <c r="M30" i="30" s="1"/>
  <c r="E30" i="31" s="1"/>
  <c r="M30" i="31" s="1"/>
  <c r="E31" i="30"/>
  <c r="M31" i="30" s="1"/>
  <c r="E31" i="31" s="1"/>
  <c r="M31" i="31" s="1"/>
  <c r="E32" i="30"/>
  <c r="M32" i="30" s="1"/>
  <c r="E32" i="31" s="1"/>
  <c r="M32" i="31" s="1"/>
  <c r="E32" i="32" s="1"/>
  <c r="M32" i="32" s="1"/>
  <c r="E32" i="33" s="1"/>
  <c r="E33" i="30"/>
  <c r="M33" i="30" s="1"/>
  <c r="E33" i="31" s="1"/>
  <c r="M33" i="31" s="1"/>
  <c r="E33" i="32" s="1"/>
  <c r="M33" i="32" s="1"/>
  <c r="E33" i="33" s="1"/>
  <c r="E34" i="30"/>
  <c r="M34" i="30" s="1"/>
  <c r="E34" i="31" s="1"/>
  <c r="M34" i="31" s="1"/>
  <c r="E35" i="30"/>
  <c r="M35" i="30" s="1"/>
  <c r="E35" i="31" s="1"/>
  <c r="M35" i="31" s="1"/>
  <c r="E35" i="32" s="1"/>
  <c r="M35" i="32" s="1"/>
  <c r="E37" i="30"/>
  <c r="M37" i="30" s="1"/>
  <c r="E37" i="31" s="1"/>
  <c r="M37" i="31" s="1"/>
  <c r="E37" i="32" s="1"/>
  <c r="M37" i="32" s="1"/>
  <c r="E37" i="33" s="1"/>
  <c r="E41" i="30"/>
  <c r="M41" i="30" s="1"/>
  <c r="E41" i="31" s="1"/>
  <c r="M41" i="31" s="1"/>
  <c r="E42" i="30"/>
  <c r="M42" i="30" s="1"/>
  <c r="E42" i="31" s="1"/>
  <c r="M42" i="31" s="1"/>
  <c r="E42" i="32" s="1"/>
  <c r="M42" i="32" s="1"/>
  <c r="E43" i="30"/>
  <c r="M43" i="30" s="1"/>
  <c r="E43" i="31" s="1"/>
  <c r="M43" i="31" s="1"/>
  <c r="E44" i="30"/>
  <c r="M44" i="30" s="1"/>
  <c r="E44" i="31" s="1"/>
  <c r="M44" i="31" s="1"/>
  <c r="E45" i="30"/>
  <c r="M45" i="30" s="1"/>
  <c r="E45" i="31" s="1"/>
  <c r="M45" i="31" s="1"/>
  <c r="E46" i="30"/>
  <c r="M46" i="30" s="1"/>
  <c r="E46" i="31" s="1"/>
  <c r="M46" i="31" s="1"/>
  <c r="E48" i="30"/>
  <c r="M48" i="30" s="1"/>
  <c r="E48" i="31" s="1"/>
  <c r="M48" i="31" s="1"/>
  <c r="E52" i="30"/>
  <c r="M52" i="30" s="1"/>
  <c r="E52" i="31" s="1"/>
  <c r="M52" i="31" s="1"/>
  <c r="E53" i="30"/>
  <c r="M53" i="30" s="1"/>
  <c r="E53" i="31" s="1"/>
  <c r="M53" i="31" s="1"/>
  <c r="E53" i="32" s="1"/>
  <c r="M53" i="32" s="1"/>
  <c r="E53" i="33" s="1"/>
  <c r="E54" i="30"/>
  <c r="M54" i="30" s="1"/>
  <c r="E54" i="31" s="1"/>
  <c r="M54" i="31" s="1"/>
  <c r="E54" i="32" s="1"/>
  <c r="M54" i="32" s="1"/>
  <c r="E54" i="33" s="1"/>
  <c r="E55" i="30"/>
  <c r="M55" i="30" s="1"/>
  <c r="E55" i="31" s="1"/>
  <c r="M55" i="31" s="1"/>
  <c r="E55" i="32" s="1"/>
  <c r="M55" i="32" s="1"/>
  <c r="E56" i="30"/>
  <c r="M56" i="30" s="1"/>
  <c r="E56" i="31" s="1"/>
  <c r="M56" i="31" s="1"/>
  <c r="E56" i="32" s="1"/>
  <c r="M56" i="32" s="1"/>
  <c r="E57" i="30"/>
  <c r="M57" i="30" s="1"/>
  <c r="E57" i="31" s="1"/>
  <c r="M57" i="31" s="1"/>
  <c r="E58" i="30"/>
  <c r="M58" i="30" s="1"/>
  <c r="E58" i="31" s="1"/>
  <c r="M58" i="31" s="1"/>
  <c r="E58" i="32" s="1"/>
  <c r="M58" i="32" s="1"/>
  <c r="E58" i="33" s="1"/>
  <c r="E59" i="30"/>
  <c r="M59" i="30" s="1"/>
  <c r="E59" i="31" s="1"/>
  <c r="M59" i="31" s="1"/>
  <c r="E59" i="32" s="1"/>
  <c r="M59" i="32" s="1"/>
  <c r="E63" i="30"/>
  <c r="M63" i="30" s="1"/>
  <c r="E63" i="31" s="1"/>
  <c r="M63" i="31" s="1"/>
  <c r="E63" i="32" s="1"/>
  <c r="M63" i="32" s="1"/>
  <c r="E63" i="33" s="1"/>
  <c r="E64" i="30"/>
  <c r="M64" i="30" s="1"/>
  <c r="E64" i="31" s="1"/>
  <c r="M64" i="31" s="1"/>
  <c r="E64" i="32" s="1"/>
  <c r="M64" i="32" s="1"/>
  <c r="E65" i="30"/>
  <c r="M65" i="30" s="1"/>
  <c r="E65" i="31" s="1"/>
  <c r="M65" i="31" s="1"/>
  <c r="E66" i="30"/>
  <c r="M66" i="30" s="1"/>
  <c r="E66" i="31" s="1"/>
  <c r="M66" i="31" s="1"/>
  <c r="E66" i="32" s="1"/>
  <c r="M66" i="32" s="1"/>
  <c r="E67" i="30"/>
  <c r="M67" i="30" s="1"/>
  <c r="E67" i="31" s="1"/>
  <c r="M67" i="31" s="1"/>
  <c r="E67" i="32" s="1"/>
  <c r="M67" i="32" s="1"/>
  <c r="E68" i="30"/>
  <c r="M68" i="30" s="1"/>
  <c r="E68" i="31" s="1"/>
  <c r="M68" i="31" s="1"/>
  <c r="E68" i="32" s="1"/>
  <c r="M68" i="32" s="1"/>
  <c r="E69" i="30"/>
  <c r="M69" i="30" s="1"/>
  <c r="E69" i="31" s="1"/>
  <c r="M69" i="31" s="1"/>
  <c r="E69" i="32" s="1"/>
  <c r="M69" i="32" s="1"/>
  <c r="E69" i="33" s="1"/>
  <c r="E70" i="30"/>
  <c r="M70" i="30" s="1"/>
  <c r="E70" i="31" s="1"/>
  <c r="M70" i="31" s="1"/>
  <c r="E70" i="32" s="1"/>
  <c r="M70" i="32" s="1"/>
  <c r="E74" i="30"/>
  <c r="M74" i="30" s="1"/>
  <c r="E74" i="31" s="1"/>
  <c r="M74" i="31" s="1"/>
  <c r="E75" i="30"/>
  <c r="M75" i="30" s="1"/>
  <c r="E75" i="31" s="1"/>
  <c r="M75" i="31" s="1"/>
  <c r="E76" i="30"/>
  <c r="M76" i="30" s="1"/>
  <c r="E76" i="31" s="1"/>
  <c r="M76" i="31" s="1"/>
  <c r="E76" i="32" s="1"/>
  <c r="M76" i="32" s="1"/>
  <c r="E76" i="33" s="1"/>
  <c r="E77" i="30"/>
  <c r="M77" i="30" s="1"/>
  <c r="E77" i="31" s="1"/>
  <c r="M77" i="31" s="1"/>
  <c r="E77" i="32" s="1"/>
  <c r="M77" i="32" s="1"/>
  <c r="E77" i="33" s="1"/>
  <c r="E78" i="30"/>
  <c r="M78" i="30" s="1"/>
  <c r="E78" i="31" s="1"/>
  <c r="M78" i="31" s="1"/>
  <c r="E78" i="32" s="1"/>
  <c r="M78" i="32" s="1"/>
  <c r="E79" i="30"/>
  <c r="M79" i="30" s="1"/>
  <c r="E79" i="31" s="1"/>
  <c r="M79" i="31" s="1"/>
  <c r="E79" i="32" s="1"/>
  <c r="M79" i="32" s="1"/>
  <c r="E80" i="30"/>
  <c r="M80" i="30" s="1"/>
  <c r="E80" i="31" s="1"/>
  <c r="M80" i="31" s="1"/>
  <c r="E80" i="32" s="1"/>
  <c r="M80" i="32" s="1"/>
  <c r="E80" i="33" s="1"/>
  <c r="E81" i="30"/>
  <c r="M81" i="30" s="1"/>
  <c r="E81" i="31" s="1"/>
  <c r="M81" i="31" s="1"/>
  <c r="E81" i="32" s="1"/>
  <c r="M81" i="32" s="1"/>
  <c r="E81" i="33" s="1"/>
  <c r="E85" i="30"/>
  <c r="M85" i="30" s="1"/>
  <c r="E85" i="31" s="1"/>
  <c r="M85" i="31" s="1"/>
  <c r="E85" i="32" s="1"/>
  <c r="M85" i="32" s="1"/>
  <c r="E85" i="33" s="1"/>
  <c r="E86" i="30"/>
  <c r="M86" i="30" s="1"/>
  <c r="E86" i="31" s="1"/>
  <c r="M86" i="31" s="1"/>
  <c r="E87" i="30"/>
  <c r="M87" i="30" s="1"/>
  <c r="E87" i="31" s="1"/>
  <c r="M87" i="31" s="1"/>
  <c r="E87" i="32" s="1"/>
  <c r="M87" i="32" s="1"/>
  <c r="E88" i="30"/>
  <c r="M88" i="30" s="1"/>
  <c r="E88" i="31" s="1"/>
  <c r="M88" i="31" s="1"/>
  <c r="E88" i="32" s="1"/>
  <c r="M88" i="32" s="1"/>
  <c r="E88" i="33" s="1"/>
  <c r="E89" i="30"/>
  <c r="M89" i="30" s="1"/>
  <c r="E89" i="31" s="1"/>
  <c r="M89" i="31" s="1"/>
  <c r="E89" i="32" s="1"/>
  <c r="M89" i="32" s="1"/>
  <c r="E90" i="30"/>
  <c r="M90" i="30" s="1"/>
  <c r="E90" i="31" s="1"/>
  <c r="M90" i="31" s="1"/>
  <c r="E90" i="32" s="1"/>
  <c r="M90" i="32" s="1"/>
  <c r="E92" i="30"/>
  <c r="M92" i="30" s="1"/>
  <c r="E92" i="31" s="1"/>
  <c r="M92" i="31" s="1"/>
  <c r="E92" i="32" s="1"/>
  <c r="M92" i="32" s="1"/>
  <c r="E92" i="33" s="1"/>
  <c r="E96" i="30"/>
  <c r="M96" i="30" s="1"/>
  <c r="E96" i="31" s="1"/>
  <c r="M96" i="31" s="1"/>
  <c r="E96" i="32" s="1"/>
  <c r="M96" i="32" s="1"/>
  <c r="E96" i="33" s="1"/>
  <c r="E97" i="30"/>
  <c r="M97" i="30" s="1"/>
  <c r="E97" i="31" s="1"/>
  <c r="M97" i="31" s="1"/>
  <c r="E97" i="32" s="1"/>
  <c r="M97" i="32" s="1"/>
  <c r="E98" i="30"/>
  <c r="M98" i="30" s="1"/>
  <c r="E98" i="31" s="1"/>
  <c r="M98" i="31" s="1"/>
  <c r="E99" i="30"/>
  <c r="M99" i="30" s="1"/>
  <c r="E99" i="31" s="1"/>
  <c r="M99" i="31" s="1"/>
  <c r="E99" i="32" s="1"/>
  <c r="M99" i="32" s="1"/>
  <c r="E100" i="30"/>
  <c r="M100" i="30" s="1"/>
  <c r="E100" i="31" s="1"/>
  <c r="M100" i="31" s="1"/>
  <c r="E100" i="32" s="1"/>
  <c r="M100" i="32" s="1"/>
  <c r="E100" i="33" s="1"/>
  <c r="E101" i="30"/>
  <c r="M101" i="30" s="1"/>
  <c r="E101" i="31" s="1"/>
  <c r="M101" i="31" s="1"/>
  <c r="E101" i="32" s="1"/>
  <c r="M101" i="32" s="1"/>
  <c r="E102" i="30"/>
  <c r="M102" i="30" s="1"/>
  <c r="E102" i="31" s="1"/>
  <c r="M102" i="31" s="1"/>
  <c r="E102" i="32" s="1"/>
  <c r="M102" i="32" s="1"/>
  <c r="E103" i="30"/>
  <c r="M103" i="30" s="1"/>
  <c r="E103" i="31" s="1"/>
  <c r="M103" i="31" s="1"/>
  <c r="E107" i="30"/>
  <c r="M107" i="30" s="1"/>
  <c r="E107" i="31" s="1"/>
  <c r="M107" i="31" s="1"/>
  <c r="E108" i="30"/>
  <c r="M108" i="30" s="1"/>
  <c r="E108" i="31" s="1"/>
  <c r="M108" i="31" s="1"/>
  <c r="E108" i="32" s="1"/>
  <c r="M108" i="32" s="1"/>
  <c r="E109" i="30"/>
  <c r="M109" i="30" s="1"/>
  <c r="E109" i="31" s="1"/>
  <c r="M109" i="31" s="1"/>
  <c r="E110" i="30"/>
  <c r="M110" i="30" s="1"/>
  <c r="E110" i="31" s="1"/>
  <c r="M110" i="31" s="1"/>
  <c r="E110" i="32" s="1"/>
  <c r="M110" i="32" s="1"/>
  <c r="E111" i="30"/>
  <c r="M111" i="30" s="1"/>
  <c r="E111" i="31" s="1"/>
  <c r="M111" i="31" s="1"/>
  <c r="E111" i="32" s="1"/>
  <c r="M111" i="32" s="1"/>
  <c r="E112" i="30"/>
  <c r="M112" i="30" s="1"/>
  <c r="E112" i="31" s="1"/>
  <c r="M112" i="31" s="1"/>
  <c r="E112" i="32" s="1"/>
  <c r="M112" i="32" s="1"/>
  <c r="E113" i="30"/>
  <c r="M113" i="30" s="1"/>
  <c r="E113" i="31" s="1"/>
  <c r="M113" i="31" s="1"/>
  <c r="E113" i="32" s="1"/>
  <c r="M113" i="32" s="1"/>
  <c r="E113" i="33" s="1"/>
  <c r="E114" i="30"/>
  <c r="M114" i="30" s="1"/>
  <c r="E114" i="31" s="1"/>
  <c r="M114" i="31" s="1"/>
  <c r="E114" i="32" s="1"/>
  <c r="M114" i="32" s="1"/>
  <c r="E118" i="30"/>
  <c r="M118" i="30" s="1"/>
  <c r="E118" i="31" s="1"/>
  <c r="M118" i="31" s="1"/>
  <c r="E119" i="30"/>
  <c r="M119" i="30" s="1"/>
  <c r="E119" i="31" s="1"/>
  <c r="M119" i="31" s="1"/>
  <c r="E119" i="32" s="1"/>
  <c r="M119" i="32" s="1"/>
  <c r="E120" i="30"/>
  <c r="M120" i="30" s="1"/>
  <c r="E120" i="31" s="1"/>
  <c r="M120" i="31" s="1"/>
  <c r="E121" i="30"/>
  <c r="M121" i="30" s="1"/>
  <c r="E121" i="31" s="1"/>
  <c r="M121" i="31" s="1"/>
  <c r="E121" i="32" s="1"/>
  <c r="M121" i="32" s="1"/>
  <c r="E122" i="30"/>
  <c r="M122" i="30" s="1"/>
  <c r="E122" i="31" s="1"/>
  <c r="M122" i="31" s="1"/>
  <c r="E122" i="32" s="1"/>
  <c r="M122" i="32" s="1"/>
  <c r="E123" i="30"/>
  <c r="M123" i="30" s="1"/>
  <c r="E123" i="31" s="1"/>
  <c r="M123" i="31" s="1"/>
  <c r="E123" i="32" s="1"/>
  <c r="M123" i="32" s="1"/>
  <c r="E123" i="33" s="1"/>
  <c r="E124" i="30"/>
  <c r="M124" i="30" s="1"/>
  <c r="E124" i="31" s="1"/>
  <c r="M124" i="31" s="1"/>
  <c r="E124" i="32" s="1"/>
  <c r="M124" i="32" s="1"/>
  <c r="E125" i="30"/>
  <c r="M125" i="30" s="1"/>
  <c r="E125" i="31" s="1"/>
  <c r="M125" i="31" s="1"/>
  <c r="E125" i="32" s="1"/>
  <c r="M125" i="32" s="1"/>
  <c r="D19" i="33"/>
  <c r="F73" i="33"/>
  <c r="B37" i="33"/>
  <c r="A61" i="33"/>
  <c r="D24" i="33"/>
  <c r="A90" i="33"/>
  <c r="B123" i="33"/>
  <c r="C73" i="33"/>
  <c r="D27" i="33"/>
  <c r="D85" i="33"/>
  <c r="C117" i="33"/>
  <c r="C9" i="33"/>
  <c r="G106" i="33"/>
  <c r="A33" i="33"/>
  <c r="C111" i="33"/>
  <c r="E106" i="33"/>
  <c r="A32" i="33"/>
  <c r="D99" i="33"/>
  <c r="B16" i="33"/>
  <c r="A92" i="33"/>
  <c r="D37" i="33"/>
  <c r="C61" i="33"/>
  <c r="E72" i="33"/>
  <c r="A36" i="33"/>
  <c r="D96" i="33"/>
  <c r="C23" i="33"/>
  <c r="D57" i="33"/>
  <c r="A108" i="33"/>
  <c r="D101" i="33"/>
  <c r="C57" i="33"/>
  <c r="A23" i="33"/>
  <c r="D88" i="33"/>
  <c r="A105" i="33"/>
  <c r="D123" i="33"/>
  <c r="B74" i="33"/>
  <c r="C28" i="33"/>
  <c r="B52" i="33"/>
  <c r="C87" i="33"/>
  <c r="F50" i="33"/>
  <c r="B14" i="33"/>
  <c r="B39" i="33"/>
  <c r="D118" i="33"/>
  <c r="D62" i="33"/>
  <c r="B83" i="33"/>
  <c r="C126" i="33"/>
  <c r="C103" i="33"/>
  <c r="F6" i="33"/>
  <c r="F16" i="33"/>
  <c r="G51" i="33"/>
  <c r="A74" i="33"/>
  <c r="D124" i="33"/>
  <c r="B115" i="33"/>
  <c r="C109" i="33"/>
  <c r="D67" i="33"/>
  <c r="C20" i="33"/>
  <c r="B44" i="33"/>
  <c r="D55" i="33"/>
  <c r="G18" i="33"/>
  <c r="B6" i="33"/>
  <c r="A38" i="33"/>
  <c r="C124" i="33"/>
  <c r="D98" i="33"/>
  <c r="D112" i="33"/>
  <c r="A122" i="33"/>
  <c r="B116" i="33"/>
  <c r="B9" i="33"/>
  <c r="A8" i="33"/>
  <c r="D76" i="33"/>
  <c r="C53" i="33"/>
  <c r="A28" i="33"/>
  <c r="C15" i="33"/>
  <c r="C76" i="33"/>
  <c r="B93" i="33"/>
  <c r="F94" i="33"/>
  <c r="D20" i="33"/>
  <c r="D83" i="33"/>
  <c r="D63" i="33"/>
  <c r="A99" i="33"/>
  <c r="B24" i="33"/>
  <c r="G94" i="33"/>
  <c r="A96" i="33"/>
  <c r="D29" i="33"/>
  <c r="C48" i="33"/>
  <c r="A115" i="33"/>
  <c r="B125" i="33"/>
  <c r="C94" i="33"/>
  <c r="A106" i="33"/>
  <c r="C35" i="33"/>
  <c r="A71" i="33"/>
  <c r="D93" i="33"/>
  <c r="B122" i="33"/>
  <c r="A15" i="33"/>
  <c r="C82" i="33"/>
  <c r="A39" i="33"/>
  <c r="D119" i="33"/>
  <c r="A126" i="33"/>
  <c r="A79" i="33"/>
  <c r="B120" i="33"/>
  <c r="D115" i="33"/>
  <c r="C79" i="33"/>
  <c r="C123" i="33"/>
  <c r="C43" i="33"/>
  <c r="A114" i="33"/>
  <c r="D91" i="33"/>
  <c r="E51" i="33"/>
  <c r="D126" i="33"/>
  <c r="B108" i="33"/>
  <c r="A80" i="33"/>
  <c r="D36" i="33"/>
  <c r="C118" i="33"/>
  <c r="B67" i="33"/>
  <c r="A119" i="33"/>
  <c r="B65" i="33"/>
  <c r="C114" i="33"/>
  <c r="B19" i="33"/>
  <c r="A43" i="33"/>
  <c r="D6" i="33"/>
  <c r="C54" i="33"/>
  <c r="F17" i="33"/>
  <c r="B78" i="33"/>
  <c r="A94" i="33"/>
  <c r="A30" i="33"/>
  <c r="C89" i="33"/>
  <c r="A49" i="33"/>
  <c r="D116" i="33"/>
  <c r="C125" i="33"/>
  <c r="A107" i="33"/>
  <c r="B33" i="33"/>
  <c r="B117" i="33"/>
  <c r="D60" i="33"/>
  <c r="G116" i="33"/>
  <c r="D59" i="33"/>
  <c r="A111" i="33"/>
  <c r="C106" i="33"/>
  <c r="A31" i="33"/>
  <c r="B11" i="33"/>
  <c r="A35" i="33"/>
  <c r="C46" i="33"/>
  <c r="B70" i="33"/>
  <c r="G84" i="33"/>
  <c r="C115" i="33"/>
  <c r="B34" i="33"/>
  <c r="A87" i="33"/>
  <c r="B114" i="33"/>
  <c r="B124" i="33"/>
  <c r="G105" i="33"/>
  <c r="D75" i="33"/>
  <c r="G29" i="33"/>
  <c r="A116" i="33"/>
  <c r="B57" i="33"/>
  <c r="D120" i="33"/>
  <c r="C68" i="33"/>
  <c r="B56" i="33"/>
  <c r="A41" i="33"/>
  <c r="B105" i="33"/>
  <c r="D28" i="33"/>
  <c r="A10" i="33"/>
  <c r="D70" i="33"/>
  <c r="B45" i="33"/>
  <c r="A69" i="33"/>
  <c r="D32" i="33"/>
  <c r="C110" i="33"/>
  <c r="C100" i="33"/>
  <c r="D84" i="33"/>
  <c r="B66" i="33"/>
  <c r="B42" i="33"/>
  <c r="C17" i="33"/>
  <c r="B97" i="33"/>
  <c r="E105" i="33"/>
  <c r="B75" i="33"/>
  <c r="E29" i="33"/>
  <c r="B119" i="33"/>
  <c r="A110" i="33"/>
  <c r="E83" i="33"/>
  <c r="C65" i="33"/>
  <c r="B41" i="33"/>
  <c r="A17" i="33"/>
  <c r="D122" i="33"/>
  <c r="C113" i="33"/>
  <c r="B104" i="33"/>
  <c r="C90" i="33"/>
  <c r="A72" i="33"/>
  <c r="B50" i="33"/>
  <c r="C25" i="33"/>
  <c r="F117" i="33"/>
  <c r="C97" i="33"/>
  <c r="A81" i="33"/>
  <c r="F61" i="33"/>
  <c r="D11" i="33"/>
  <c r="A9" i="33"/>
  <c r="B59" i="33"/>
  <c r="A50" i="33"/>
  <c r="G40" i="33"/>
  <c r="D13" i="33"/>
  <c r="C101" i="33"/>
  <c r="B92" i="33"/>
  <c r="A83" i="33"/>
  <c r="G73" i="33"/>
  <c r="D46" i="33"/>
  <c r="C37" i="33"/>
  <c r="B28" i="33"/>
  <c r="A19" i="33"/>
  <c r="B85" i="33"/>
  <c r="A76" i="33"/>
  <c r="D39" i="33"/>
  <c r="C30" i="33"/>
  <c r="B21" i="33"/>
  <c r="A12" i="33"/>
  <c r="D72" i="33"/>
  <c r="C63" i="33"/>
  <c r="B54" i="33"/>
  <c r="A45" i="33"/>
  <c r="E17" i="33"/>
  <c r="D8" i="33"/>
  <c r="C96" i="33"/>
  <c r="B87" i="33"/>
  <c r="A78" i="33"/>
  <c r="E50" i="33"/>
  <c r="D41" i="33"/>
  <c r="C32" i="33"/>
  <c r="B23" i="33"/>
  <c r="A14" i="33"/>
  <c r="B109" i="33"/>
  <c r="C98" i="33"/>
  <c r="B82" i="33"/>
  <c r="A63" i="33"/>
  <c r="D104" i="33"/>
  <c r="G72" i="33"/>
  <c r="D50" i="33"/>
  <c r="C26" i="33"/>
  <c r="A25" i="33"/>
  <c r="A118" i="33"/>
  <c r="A98" i="33"/>
  <c r="C81" i="33"/>
  <c r="F62" i="33"/>
  <c r="C121" i="33"/>
  <c r="B112" i="33"/>
  <c r="A103" i="33"/>
  <c r="A88" i="33"/>
  <c r="E116" i="33"/>
  <c r="D107" i="33"/>
  <c r="F95" i="33"/>
  <c r="D58" i="33"/>
  <c r="C34" i="33"/>
  <c r="G6" i="33"/>
  <c r="A58" i="33"/>
  <c r="F39" i="33"/>
  <c r="D21" i="33"/>
  <c r="C12" i="33"/>
  <c r="B100" i="33"/>
  <c r="A91" i="33"/>
  <c r="F72" i="33"/>
  <c r="D54" i="33"/>
  <c r="C45" i="33"/>
  <c r="B36" i="33"/>
  <c r="A27" i="33"/>
  <c r="G17" i="33"/>
  <c r="A84" i="33"/>
  <c r="D47" i="33"/>
  <c r="C38" i="33"/>
  <c r="B29" i="33"/>
  <c r="A20" i="33"/>
  <c r="D80" i="33"/>
  <c r="C71" i="33"/>
  <c r="B62" i="33"/>
  <c r="A53" i="33"/>
  <c r="D16" i="33"/>
  <c r="C7" i="33"/>
  <c r="B95" i="33"/>
  <c r="A86" i="33"/>
  <c r="D49" i="33"/>
  <c r="C40" i="33"/>
  <c r="B31" i="33"/>
  <c r="A22" i="33"/>
  <c r="A102" i="33"/>
  <c r="F83" i="33"/>
  <c r="D65" i="33"/>
  <c r="F84" i="33"/>
  <c r="D66" i="33"/>
  <c r="D42" i="33"/>
  <c r="C18" i="33"/>
  <c r="D69" i="33"/>
  <c r="A123" i="33"/>
  <c r="C91" i="33"/>
  <c r="B73" i="33"/>
  <c r="D51" i="33"/>
  <c r="C27" i="33"/>
  <c r="A124" i="33"/>
  <c r="F105" i="33"/>
  <c r="C75" i="33"/>
  <c r="F29" i="33"/>
  <c r="A121" i="33"/>
  <c r="B49" i="33"/>
  <c r="C119" i="33"/>
  <c r="B110" i="33"/>
  <c r="A100" i="33"/>
  <c r="C84" i="33"/>
  <c r="A66" i="33"/>
  <c r="C41" i="33"/>
  <c r="B17" i="33"/>
  <c r="D105" i="33"/>
  <c r="D92" i="33"/>
  <c r="D74" i="33"/>
  <c r="F28" i="33"/>
  <c r="G117" i="33"/>
  <c r="B81" i="33"/>
  <c r="G61" i="33"/>
  <c r="C122" i="33"/>
  <c r="B113" i="33"/>
  <c r="A104" i="33"/>
  <c r="B90" i="33"/>
  <c r="C49" i="33"/>
  <c r="B25" i="33"/>
  <c r="D45" i="33"/>
  <c r="C36" i="33"/>
  <c r="B27" i="33"/>
  <c r="A18" i="33"/>
  <c r="D78" i="33"/>
  <c r="C69" i="33"/>
  <c r="B60" i="33"/>
  <c r="A51" i="33"/>
  <c r="D14" i="33"/>
  <c r="D71" i="33"/>
  <c r="C62" i="33"/>
  <c r="B53" i="33"/>
  <c r="A44" i="33"/>
  <c r="E16" i="33"/>
  <c r="D7" i="33"/>
  <c r="C95" i="33"/>
  <c r="B86" i="33"/>
  <c r="A77" i="33"/>
  <c r="D40" i="33"/>
  <c r="C31" i="33"/>
  <c r="B22" i="33"/>
  <c r="A13" i="33"/>
  <c r="D73" i="33"/>
  <c r="C64" i="33"/>
  <c r="B55" i="33"/>
  <c r="A46" i="33"/>
  <c r="E18" i="33"/>
  <c r="D9" i="33"/>
  <c r="C56" i="33"/>
  <c r="B47" i="33"/>
  <c r="B64" i="33"/>
  <c r="D10" i="33"/>
  <c r="D109" i="33"/>
  <c r="D82" i="33"/>
  <c r="A64" i="33"/>
  <c r="G39" i="33"/>
  <c r="C107" i="33"/>
  <c r="E61" i="33"/>
  <c r="B89" i="33"/>
  <c r="B48" i="33"/>
  <c r="A24" i="33"/>
  <c r="B91" i="33"/>
  <c r="A73" i="33"/>
  <c r="C51" i="33"/>
  <c r="D26" i="33"/>
  <c r="E117" i="33"/>
  <c r="D18" i="33"/>
  <c r="B118" i="33"/>
  <c r="A109" i="33"/>
  <c r="B98" i="33"/>
  <c r="A82" i="33"/>
  <c r="G62" i="33"/>
  <c r="D113" i="33"/>
  <c r="C104" i="33"/>
  <c r="D90" i="33"/>
  <c r="B72" i="33"/>
  <c r="C50" i="33"/>
  <c r="B26" i="33"/>
  <c r="F116" i="33"/>
  <c r="G95" i="33"/>
  <c r="C59" i="33"/>
  <c r="D34" i="33"/>
  <c r="A7" i="33"/>
  <c r="B121" i="33"/>
  <c r="A112" i="33"/>
  <c r="D12" i="33"/>
  <c r="E62" i="33"/>
  <c r="D53" i="33"/>
  <c r="C44" i="33"/>
  <c r="B35" i="33"/>
  <c r="A26" i="33"/>
  <c r="G16" i="33"/>
  <c r="E95" i="33"/>
  <c r="D86" i="33"/>
  <c r="C77" i="33"/>
  <c r="B68" i="33"/>
  <c r="A59" i="33"/>
  <c r="F40" i="33"/>
  <c r="D22" i="33"/>
  <c r="C13" i="33"/>
  <c r="D79" i="33"/>
  <c r="C70" i="33"/>
  <c r="B61" i="33"/>
  <c r="A52" i="33"/>
  <c r="D15" i="33"/>
  <c r="C6" i="33"/>
  <c r="B94" i="33"/>
  <c r="A85" i="33"/>
  <c r="D48" i="33"/>
  <c r="C39" i="33"/>
  <c r="B30" i="33"/>
  <c r="A21" i="33"/>
  <c r="D81" i="33"/>
  <c r="C72" i="33"/>
  <c r="B63" i="33"/>
  <c r="A54" i="33"/>
  <c r="D17" i="33"/>
  <c r="C8" i="33"/>
  <c r="B106" i="33"/>
  <c r="A97" i="33"/>
  <c r="A55" i="33"/>
  <c r="C102" i="33"/>
  <c r="D103" i="33"/>
  <c r="A89" i="33"/>
  <c r="A48" i="33"/>
  <c r="A113" i="33"/>
  <c r="B126" i="33"/>
  <c r="A117" i="33"/>
  <c r="B96" i="33"/>
  <c r="D35" i="33"/>
  <c r="B8" i="33"/>
  <c r="D121" i="33"/>
  <c r="C112" i="33"/>
  <c r="B103" i="33"/>
  <c r="B88" i="33"/>
  <c r="A47" i="33"/>
  <c r="D106" i="33"/>
  <c r="A56" i="33"/>
  <c r="A120" i="33"/>
  <c r="B101" i="33"/>
  <c r="C67" i="33"/>
  <c r="D43" i="33"/>
  <c r="C19" i="33"/>
  <c r="C11" i="33"/>
  <c r="D61" i="33"/>
  <c r="C52" i="33"/>
  <c r="B43" i="33"/>
  <c r="A34" i="33"/>
  <c r="E6" i="33"/>
  <c r="D94" i="33"/>
  <c r="C85" i="33"/>
  <c r="B76" i="33"/>
  <c r="A67" i="33"/>
  <c r="E39" i="33"/>
  <c r="D30" i="33"/>
  <c r="C21" i="33"/>
  <c r="B12" i="33"/>
  <c r="D87" i="33"/>
  <c r="C78" i="33"/>
  <c r="B69" i="33"/>
  <c r="A60" i="33"/>
  <c r="G50" i="33"/>
  <c r="D23" i="33"/>
  <c r="C14" i="33"/>
  <c r="B102" i="33"/>
  <c r="A93" i="33"/>
  <c r="G83" i="33"/>
  <c r="D56" i="33"/>
  <c r="C47" i="33"/>
  <c r="B38" i="33"/>
  <c r="A29" i="33"/>
  <c r="D89" i="33"/>
  <c r="C80" i="33"/>
  <c r="B71" i="33"/>
  <c r="A62" i="33"/>
  <c r="D25" i="33"/>
  <c r="C16" i="33"/>
  <c r="B7" i="33"/>
  <c r="G28" i="33"/>
  <c r="C58" i="33"/>
  <c r="D117" i="33"/>
  <c r="C108" i="33"/>
  <c r="B80" i="33"/>
  <c r="C10" i="33"/>
  <c r="B99" i="33"/>
  <c r="D52" i="33"/>
  <c r="D125" i="33"/>
  <c r="C116" i="33"/>
  <c r="B107" i="33"/>
  <c r="A95" i="33"/>
  <c r="B58" i="33"/>
  <c r="C33" i="33"/>
  <c r="D95" i="33"/>
  <c r="A40" i="33"/>
  <c r="D110" i="33"/>
  <c r="D100" i="33"/>
  <c r="E84" i="33"/>
  <c r="C66" i="33"/>
  <c r="C42" i="33"/>
  <c r="B18" i="33"/>
  <c r="D111" i="33"/>
  <c r="D68" i="33"/>
  <c r="D108" i="33"/>
  <c r="A125" i="33"/>
  <c r="F106" i="33"/>
  <c r="E94" i="33"/>
  <c r="D77" i="33"/>
  <c r="A57" i="33"/>
  <c r="B32" i="33"/>
  <c r="C120" i="33"/>
  <c r="B111" i="33"/>
  <c r="D44" i="33"/>
  <c r="D114" i="33"/>
  <c r="C105" i="33"/>
  <c r="C92" i="33"/>
  <c r="C74" i="33"/>
  <c r="E28" i="33"/>
  <c r="C99" i="33"/>
  <c r="C83" i="33"/>
  <c r="A65" i="33"/>
  <c r="B40" i="33"/>
  <c r="A16" i="33"/>
  <c r="B10" i="33"/>
  <c r="C60" i="33"/>
  <c r="B51" i="33"/>
  <c r="A42" i="33"/>
  <c r="D102" i="33"/>
  <c r="C93" i="33"/>
  <c r="B84" i="33"/>
  <c r="A75" i="33"/>
  <c r="D38" i="33"/>
  <c r="C29" i="33"/>
  <c r="B20" i="33"/>
  <c r="A11" i="33"/>
  <c r="C86" i="33"/>
  <c r="B77" i="33"/>
  <c r="A68" i="33"/>
  <c r="E40" i="33"/>
  <c r="D31" i="33"/>
  <c r="C22" i="33"/>
  <c r="B13" i="33"/>
  <c r="A101" i="33"/>
  <c r="E73" i="33"/>
  <c r="D64" i="33"/>
  <c r="C55" i="33"/>
  <c r="B46" i="33"/>
  <c r="A37" i="33"/>
  <c r="F18" i="33"/>
  <c r="D97" i="33"/>
  <c r="C88" i="33"/>
  <c r="B79" i="33"/>
  <c r="A70" i="33"/>
  <c r="F51" i="33"/>
  <c r="D33" i="33"/>
  <c r="C24" i="33"/>
  <c r="B15" i="33"/>
  <c r="A6" i="33"/>
  <c r="F105" i="32"/>
  <c r="B88" i="32"/>
  <c r="F16" i="32"/>
  <c r="D78" i="30"/>
  <c r="L78" i="30" s="1"/>
  <c r="D78" i="31" s="1"/>
  <c r="L78" i="31" s="1"/>
  <c r="D78" i="32" s="1"/>
  <c r="D63" i="30"/>
  <c r="L63" i="30" s="1"/>
  <c r="D63" i="31" s="1"/>
  <c r="L63" i="31" s="1"/>
  <c r="D63" i="32" s="1"/>
  <c r="G72" i="32"/>
  <c r="B56" i="32"/>
  <c r="C86" i="32"/>
  <c r="D108" i="30"/>
  <c r="L108" i="30" s="1"/>
  <c r="D108" i="31" s="1"/>
  <c r="L108" i="31" s="1"/>
  <c r="E61" i="32"/>
  <c r="D85" i="30"/>
  <c r="L85" i="30" s="1"/>
  <c r="D85" i="31" s="1"/>
  <c r="L85" i="31" s="1"/>
  <c r="D85" i="32" s="1"/>
  <c r="D86" i="30"/>
  <c r="L86" i="30" s="1"/>
  <c r="D86" i="31" s="1"/>
  <c r="L86" i="31" s="1"/>
  <c r="D86" i="32" s="1"/>
  <c r="D87" i="30"/>
  <c r="L87" i="30" s="1"/>
  <c r="D87" i="31" s="1"/>
  <c r="L87" i="31" s="1"/>
  <c r="D88" i="30"/>
  <c r="L88" i="30" s="1"/>
  <c r="D88" i="31" s="1"/>
  <c r="L88" i="31" s="1"/>
  <c r="D88" i="32" s="1"/>
  <c r="D89" i="30"/>
  <c r="L89" i="30" s="1"/>
  <c r="D89" i="31" s="1"/>
  <c r="L89" i="31" s="1"/>
  <c r="D90" i="30"/>
  <c r="L90" i="30" s="1"/>
  <c r="D90" i="31" s="1"/>
  <c r="L90" i="31" s="1"/>
  <c r="D90" i="32" s="1"/>
  <c r="D91" i="30"/>
  <c r="L91" i="30" s="1"/>
  <c r="D91" i="31" s="1"/>
  <c r="L91" i="31" s="1"/>
  <c r="D92" i="30"/>
  <c r="L92" i="30" s="1"/>
  <c r="D92" i="31" s="1"/>
  <c r="L92" i="31" s="1"/>
  <c r="D92" i="32" s="1"/>
  <c r="D113" i="30"/>
  <c r="L113" i="30" s="1"/>
  <c r="D113" i="31" s="1"/>
  <c r="L113" i="31" s="1"/>
  <c r="D113" i="32" s="1"/>
  <c r="B17" i="32"/>
  <c r="A45" i="32"/>
  <c r="D20" i="30"/>
  <c r="L20" i="30" s="1"/>
  <c r="D20" i="31" s="1"/>
  <c r="L20" i="31" s="1"/>
  <c r="D20" i="32" s="1"/>
  <c r="D31" i="30"/>
  <c r="L31" i="30" s="1"/>
  <c r="D31" i="31" s="1"/>
  <c r="L31" i="31" s="1"/>
  <c r="D42" i="30"/>
  <c r="L42" i="30" s="1"/>
  <c r="D42" i="31" s="1"/>
  <c r="L42" i="31" s="1"/>
  <c r="D42" i="32" s="1"/>
  <c r="D19" i="30"/>
  <c r="L19" i="30" s="1"/>
  <c r="D19" i="31" s="1"/>
  <c r="L19" i="31" s="1"/>
  <c r="D21" i="30"/>
  <c r="L21" i="30" s="1"/>
  <c r="D21" i="31" s="1"/>
  <c r="L21" i="31" s="1"/>
  <c r="D21" i="32" s="1"/>
  <c r="D22" i="30"/>
  <c r="L22" i="30" s="1"/>
  <c r="D22" i="31" s="1"/>
  <c r="L22" i="31" s="1"/>
  <c r="D23" i="30"/>
  <c r="L23" i="30" s="1"/>
  <c r="D23" i="31" s="1"/>
  <c r="L23" i="31" s="1"/>
  <c r="D23" i="32" s="1"/>
  <c r="D24" i="30"/>
  <c r="L24" i="30" s="1"/>
  <c r="D24" i="31" s="1"/>
  <c r="L24" i="31" s="1"/>
  <c r="D25" i="30"/>
  <c r="L25" i="30" s="1"/>
  <c r="D25" i="31" s="1"/>
  <c r="L25" i="31" s="1"/>
  <c r="D26" i="30"/>
  <c r="L26" i="30" s="1"/>
  <c r="D26" i="31" s="1"/>
  <c r="L26" i="31" s="1"/>
  <c r="D30" i="30"/>
  <c r="L30" i="30" s="1"/>
  <c r="D30" i="31" s="1"/>
  <c r="L30" i="31" s="1"/>
  <c r="D30" i="32" s="1"/>
  <c r="D32" i="30"/>
  <c r="L32" i="30" s="1"/>
  <c r="D32" i="31" s="1"/>
  <c r="L32" i="31" s="1"/>
  <c r="D33" i="30"/>
  <c r="L33" i="30" s="1"/>
  <c r="D33" i="31" s="1"/>
  <c r="L33" i="31" s="1"/>
  <c r="D33" i="32" s="1"/>
  <c r="D34" i="30"/>
  <c r="L34" i="30" s="1"/>
  <c r="D34" i="31" s="1"/>
  <c r="L34" i="31" s="1"/>
  <c r="D34" i="32" s="1"/>
  <c r="D35" i="30"/>
  <c r="L35" i="30" s="1"/>
  <c r="D35" i="31" s="1"/>
  <c r="L35" i="31" s="1"/>
  <c r="D35" i="32" s="1"/>
  <c r="D36" i="30"/>
  <c r="L36" i="30" s="1"/>
  <c r="D36" i="31" s="1"/>
  <c r="L36" i="31" s="1"/>
  <c r="D36" i="32" s="1"/>
  <c r="D37" i="30"/>
  <c r="L37" i="30" s="1"/>
  <c r="D37" i="31" s="1"/>
  <c r="L37" i="31" s="1"/>
  <c r="D37" i="32" s="1"/>
  <c r="D41" i="30"/>
  <c r="L41" i="30" s="1"/>
  <c r="D41" i="31" s="1"/>
  <c r="L41" i="31" s="1"/>
  <c r="D41" i="32" s="1"/>
  <c r="D43" i="30"/>
  <c r="L43" i="30" s="1"/>
  <c r="D43" i="31" s="1"/>
  <c r="L43" i="31" s="1"/>
  <c r="D44" i="30"/>
  <c r="L44" i="30" s="1"/>
  <c r="D44" i="31" s="1"/>
  <c r="L44" i="31" s="1"/>
  <c r="D44" i="32" s="1"/>
  <c r="D45" i="30"/>
  <c r="L45" i="30" s="1"/>
  <c r="D45" i="31" s="1"/>
  <c r="L45" i="31" s="1"/>
  <c r="D45" i="32" s="1"/>
  <c r="D46" i="30"/>
  <c r="L46" i="30" s="1"/>
  <c r="D46" i="31" s="1"/>
  <c r="L46" i="31" s="1"/>
  <c r="D46" i="32" s="1"/>
  <c r="D47" i="30"/>
  <c r="L47" i="30" s="1"/>
  <c r="D47" i="31" s="1"/>
  <c r="L47" i="31" s="1"/>
  <c r="D48" i="30"/>
  <c r="L48" i="30" s="1"/>
  <c r="D48" i="31" s="1"/>
  <c r="L48" i="31" s="1"/>
  <c r="D48" i="32" s="1"/>
  <c r="D52" i="30"/>
  <c r="L52" i="30" s="1"/>
  <c r="D52" i="31" s="1"/>
  <c r="L52" i="31" s="1"/>
  <c r="D53" i="30"/>
  <c r="L53" i="30" s="1"/>
  <c r="D53" i="31" s="1"/>
  <c r="L53" i="31" s="1"/>
  <c r="D53" i="32" s="1"/>
  <c r="D54" i="30"/>
  <c r="L54" i="30" s="1"/>
  <c r="D54" i="31" s="1"/>
  <c r="L54" i="31" s="1"/>
  <c r="D54" i="32" s="1"/>
  <c r="D55" i="30"/>
  <c r="L55" i="30" s="1"/>
  <c r="D55" i="31" s="1"/>
  <c r="L55" i="31" s="1"/>
  <c r="D56" i="30"/>
  <c r="L56" i="30" s="1"/>
  <c r="D56" i="31" s="1"/>
  <c r="L56" i="31" s="1"/>
  <c r="D57" i="30"/>
  <c r="L57" i="30" s="1"/>
  <c r="D57" i="31" s="1"/>
  <c r="L57" i="31" s="1"/>
  <c r="D57" i="32" s="1"/>
  <c r="D58" i="30"/>
  <c r="L58" i="30" s="1"/>
  <c r="D58" i="31" s="1"/>
  <c r="L58" i="31" s="1"/>
  <c r="D59" i="30"/>
  <c r="L59" i="30" s="1"/>
  <c r="D59" i="31" s="1"/>
  <c r="L59" i="31" s="1"/>
  <c r="D59" i="32" s="1"/>
  <c r="D64" i="30"/>
  <c r="L64" i="30" s="1"/>
  <c r="D64" i="31" s="1"/>
  <c r="L64" i="31" s="1"/>
  <c r="D65" i="30"/>
  <c r="L65" i="30" s="1"/>
  <c r="D65" i="31" s="1"/>
  <c r="L65" i="31" s="1"/>
  <c r="D65" i="32" s="1"/>
  <c r="D66" i="30"/>
  <c r="L66" i="30" s="1"/>
  <c r="D66" i="31" s="1"/>
  <c r="L66" i="31" s="1"/>
  <c r="D67" i="30"/>
  <c r="L67" i="30" s="1"/>
  <c r="D67" i="31" s="1"/>
  <c r="L67" i="31" s="1"/>
  <c r="D67" i="32" s="1"/>
  <c r="D68" i="30"/>
  <c r="L68" i="30" s="1"/>
  <c r="D68" i="31" s="1"/>
  <c r="L68" i="31" s="1"/>
  <c r="D69" i="30"/>
  <c r="L69" i="30" s="1"/>
  <c r="D69" i="31" s="1"/>
  <c r="L69" i="31" s="1"/>
  <c r="D69" i="32" s="1"/>
  <c r="D70" i="30"/>
  <c r="L70" i="30" s="1"/>
  <c r="D70" i="31" s="1"/>
  <c r="L70" i="31" s="1"/>
  <c r="D74" i="30"/>
  <c r="L74" i="30" s="1"/>
  <c r="D74" i="31" s="1"/>
  <c r="L74" i="31" s="1"/>
  <c r="D74" i="32" s="1"/>
  <c r="D75" i="30"/>
  <c r="L75" i="30" s="1"/>
  <c r="D75" i="31" s="1"/>
  <c r="L75" i="31" s="1"/>
  <c r="D75" i="32" s="1"/>
  <c r="D76" i="30"/>
  <c r="L76" i="30" s="1"/>
  <c r="D76" i="31" s="1"/>
  <c r="L76" i="31" s="1"/>
  <c r="D77" i="30"/>
  <c r="L77" i="30" s="1"/>
  <c r="D77" i="31" s="1"/>
  <c r="L77" i="31" s="1"/>
  <c r="D77" i="32" s="1"/>
  <c r="D79" i="30"/>
  <c r="L79" i="30" s="1"/>
  <c r="D79" i="31" s="1"/>
  <c r="L79" i="31" s="1"/>
  <c r="D79" i="32" s="1"/>
  <c r="D80" i="30"/>
  <c r="L80" i="30" s="1"/>
  <c r="D80" i="31" s="1"/>
  <c r="L80" i="31" s="1"/>
  <c r="D81" i="30"/>
  <c r="L81" i="30" s="1"/>
  <c r="D81" i="31" s="1"/>
  <c r="L81" i="31" s="1"/>
  <c r="D81" i="32" s="1"/>
  <c r="D96" i="30"/>
  <c r="L96" i="30" s="1"/>
  <c r="D96" i="31" s="1"/>
  <c r="L96" i="31" s="1"/>
  <c r="D96" i="32" s="1"/>
  <c r="D97" i="30"/>
  <c r="L97" i="30" s="1"/>
  <c r="D97" i="31" s="1"/>
  <c r="L97" i="31" s="1"/>
  <c r="D98" i="30"/>
  <c r="L98" i="30" s="1"/>
  <c r="D98" i="31" s="1"/>
  <c r="L98" i="31" s="1"/>
  <c r="D98" i="32" s="1"/>
  <c r="D99" i="30"/>
  <c r="L99" i="30" s="1"/>
  <c r="D99" i="31" s="1"/>
  <c r="L99" i="31" s="1"/>
  <c r="D100" i="30"/>
  <c r="L100" i="30" s="1"/>
  <c r="D100" i="31" s="1"/>
  <c r="L100" i="31" s="1"/>
  <c r="D101" i="30"/>
  <c r="L101" i="30" s="1"/>
  <c r="D101" i="31" s="1"/>
  <c r="L101" i="31" s="1"/>
  <c r="D102" i="30"/>
  <c r="L102" i="30" s="1"/>
  <c r="D102" i="31" s="1"/>
  <c r="L102" i="31" s="1"/>
  <c r="D102" i="32" s="1"/>
  <c r="D103" i="30"/>
  <c r="L103" i="30" s="1"/>
  <c r="D103" i="31" s="1"/>
  <c r="L103" i="31" s="1"/>
  <c r="D107" i="30"/>
  <c r="L107" i="30" s="1"/>
  <c r="D107" i="31" s="1"/>
  <c r="L107" i="31" s="1"/>
  <c r="D107" i="32" s="1"/>
  <c r="D109" i="30"/>
  <c r="L109" i="30" s="1"/>
  <c r="D109" i="31" s="1"/>
  <c r="L109" i="31" s="1"/>
  <c r="D109" i="32" s="1"/>
  <c r="D110" i="30"/>
  <c r="L110" i="30" s="1"/>
  <c r="D110" i="31" s="1"/>
  <c r="L110" i="31" s="1"/>
  <c r="D110" i="32" s="1"/>
  <c r="D111" i="30"/>
  <c r="L111" i="30" s="1"/>
  <c r="D111" i="31" s="1"/>
  <c r="L111" i="31" s="1"/>
  <c r="D111" i="32" s="1"/>
  <c r="D112" i="30"/>
  <c r="L112" i="30" s="1"/>
  <c r="D112" i="31" s="1"/>
  <c r="L112" i="31" s="1"/>
  <c r="D112" i="32" s="1"/>
  <c r="D114" i="30"/>
  <c r="L114" i="30" s="1"/>
  <c r="D114" i="31" s="1"/>
  <c r="L114" i="31" s="1"/>
  <c r="D118" i="30"/>
  <c r="L118" i="30" s="1"/>
  <c r="D118" i="31" s="1"/>
  <c r="L118" i="31" s="1"/>
  <c r="D118" i="32" s="1"/>
  <c r="D119" i="30"/>
  <c r="L119" i="30" s="1"/>
  <c r="D119" i="31" s="1"/>
  <c r="L119" i="31" s="1"/>
  <c r="D120" i="30"/>
  <c r="L120" i="30" s="1"/>
  <c r="D120" i="31" s="1"/>
  <c r="L120" i="31" s="1"/>
  <c r="D120" i="32" s="1"/>
  <c r="D121" i="30"/>
  <c r="L121" i="30" s="1"/>
  <c r="D121" i="31" s="1"/>
  <c r="L121" i="31" s="1"/>
  <c r="D122" i="30"/>
  <c r="L122" i="30" s="1"/>
  <c r="D122" i="31" s="1"/>
  <c r="L122" i="31" s="1"/>
  <c r="D122" i="32" s="1"/>
  <c r="D123" i="30"/>
  <c r="L123" i="30" s="1"/>
  <c r="D123" i="31" s="1"/>
  <c r="L123" i="31" s="1"/>
  <c r="D124" i="30"/>
  <c r="L124" i="30" s="1"/>
  <c r="D124" i="31" s="1"/>
  <c r="L124" i="31" s="1"/>
  <c r="D125" i="30"/>
  <c r="L125" i="30" s="1"/>
  <c r="D125" i="31" s="1"/>
  <c r="L125" i="31" s="1"/>
  <c r="C32" i="32"/>
  <c r="D51" i="32"/>
  <c r="E94" i="32"/>
  <c r="C19" i="32"/>
  <c r="C65" i="32"/>
  <c r="E117" i="32"/>
  <c r="B32" i="32"/>
  <c r="B65" i="32"/>
  <c r="C44" i="32"/>
  <c r="B72" i="32"/>
  <c r="C40" i="32"/>
  <c r="B67" i="32"/>
  <c r="F117" i="32"/>
  <c r="A110" i="32"/>
  <c r="A118" i="32"/>
  <c r="C120" i="32"/>
  <c r="F95" i="32"/>
  <c r="B53" i="32"/>
  <c r="A44" i="32"/>
  <c r="C102" i="32"/>
  <c r="A90" i="32"/>
  <c r="B41" i="32"/>
  <c r="D28" i="32"/>
  <c r="C12" i="32"/>
  <c r="C119" i="32"/>
  <c r="B110" i="32"/>
  <c r="G95" i="32"/>
  <c r="A79" i="32"/>
  <c r="G29" i="32"/>
  <c r="E95" i="32"/>
  <c r="E116" i="32"/>
  <c r="E84" i="32"/>
  <c r="A36" i="32"/>
  <c r="C107" i="32"/>
  <c r="B60" i="32"/>
  <c r="A28" i="32"/>
  <c r="A92" i="32"/>
  <c r="B43" i="32"/>
  <c r="C67" i="32"/>
  <c r="D6" i="32"/>
  <c r="C7" i="32"/>
  <c r="B31" i="32"/>
  <c r="B91" i="32"/>
  <c r="A58" i="32"/>
  <c r="D106" i="32"/>
  <c r="A123" i="32"/>
  <c r="E17" i="32"/>
  <c r="D39" i="32"/>
  <c r="A17" i="32"/>
  <c r="B36" i="32"/>
  <c r="G40" i="32"/>
  <c r="A97" i="32"/>
  <c r="C100" i="32"/>
  <c r="D83" i="32"/>
  <c r="A52" i="32"/>
  <c r="B9" i="32"/>
  <c r="B118" i="32"/>
  <c r="D94" i="32"/>
  <c r="C53" i="32"/>
  <c r="C28" i="32"/>
  <c r="F116" i="32"/>
  <c r="A59" i="32"/>
  <c r="C114" i="32"/>
  <c r="A74" i="32"/>
  <c r="B98" i="32"/>
  <c r="C49" i="32"/>
  <c r="B123" i="32"/>
  <c r="B81" i="32"/>
  <c r="A9" i="32"/>
  <c r="A12" i="32"/>
  <c r="D72" i="32"/>
  <c r="C96" i="32"/>
  <c r="B23" i="32"/>
  <c r="B97" i="32"/>
  <c r="A124" i="32"/>
  <c r="C70" i="32"/>
  <c r="C98" i="32"/>
  <c r="B54" i="32"/>
  <c r="A50" i="32"/>
  <c r="C68" i="32"/>
  <c r="B93" i="32"/>
  <c r="A32" i="32"/>
  <c r="B82" i="32"/>
  <c r="A71" i="32"/>
  <c r="A48" i="32"/>
  <c r="D16" i="32"/>
  <c r="A56" i="32"/>
  <c r="C111" i="32"/>
  <c r="B68" i="32"/>
  <c r="D105" i="32"/>
  <c r="C42" i="32"/>
  <c r="F39" i="32"/>
  <c r="A109" i="32"/>
  <c r="C22" i="32"/>
  <c r="A88" i="32"/>
  <c r="A126" i="32"/>
  <c r="C36" i="32"/>
  <c r="C94" i="32"/>
  <c r="C118" i="32"/>
  <c r="B109" i="32"/>
  <c r="B99" i="32"/>
  <c r="E62" i="32"/>
  <c r="C50" i="32"/>
  <c r="C38" i="32"/>
  <c r="B126" i="32"/>
  <c r="A117" i="32"/>
  <c r="F106" i="32"/>
  <c r="B76" i="32"/>
  <c r="E51" i="32"/>
  <c r="C26" i="32"/>
  <c r="F84" i="32"/>
  <c r="E72" i="32"/>
  <c r="A122" i="32"/>
  <c r="A55" i="32"/>
  <c r="C71" i="32"/>
  <c r="B95" i="32"/>
  <c r="A22" i="32"/>
  <c r="C103" i="32"/>
  <c r="F72" i="32"/>
  <c r="G73" i="32"/>
  <c r="A78" i="32"/>
  <c r="B104" i="32"/>
  <c r="D116" i="32"/>
  <c r="E106" i="32"/>
  <c r="C30" i="32"/>
  <c r="C110" i="32"/>
  <c r="A64" i="32"/>
  <c r="A76" i="32"/>
  <c r="G116" i="32"/>
  <c r="B111" i="32"/>
  <c r="B59" i="32"/>
  <c r="A82" i="32"/>
  <c r="C104" i="32"/>
  <c r="C112" i="32"/>
  <c r="C126" i="32"/>
  <c r="B117" i="32"/>
  <c r="A108" i="32"/>
  <c r="B73" i="32"/>
  <c r="B61" i="32"/>
  <c r="A125" i="32"/>
  <c r="E105" i="32"/>
  <c r="C91" i="32"/>
  <c r="B44" i="32"/>
  <c r="G16" i="32"/>
  <c r="C113" i="32"/>
  <c r="C83" i="32"/>
  <c r="B48" i="32"/>
  <c r="A16" i="32"/>
  <c r="F61" i="32"/>
  <c r="C37" i="32"/>
  <c r="A114" i="32"/>
  <c r="B69" i="32"/>
  <c r="C17" i="32"/>
  <c r="C93" i="32"/>
  <c r="C63" i="32"/>
  <c r="B87" i="32"/>
  <c r="E50" i="32"/>
  <c r="A14" i="32"/>
  <c r="C62" i="32"/>
  <c r="C82" i="32"/>
  <c r="A41" i="32"/>
  <c r="A81" i="32"/>
  <c r="B85" i="32"/>
  <c r="E39" i="32"/>
  <c r="A53" i="32"/>
  <c r="B119" i="32"/>
  <c r="D18" i="32"/>
  <c r="C76" i="32"/>
  <c r="C74" i="32"/>
  <c r="B103" i="32"/>
  <c r="B125" i="32"/>
  <c r="A116" i="32"/>
  <c r="G106" i="32"/>
  <c r="A96" i="32"/>
  <c r="A84" i="32"/>
  <c r="B35" i="32"/>
  <c r="B21" i="32"/>
  <c r="A67" i="32"/>
  <c r="B80" i="32"/>
  <c r="B105" i="32"/>
  <c r="C60" i="32"/>
  <c r="D84" i="32"/>
  <c r="A15" i="32"/>
  <c r="A43" i="32"/>
  <c r="B62" i="32"/>
  <c r="A86" i="32"/>
  <c r="C105" i="32"/>
  <c r="C57" i="32"/>
  <c r="C45" i="32"/>
  <c r="A33" i="32"/>
  <c r="C18" i="32"/>
  <c r="C106" i="32"/>
  <c r="D95" i="32"/>
  <c r="B83" i="32"/>
  <c r="C34" i="32"/>
  <c r="C20" i="32"/>
  <c r="C115" i="32"/>
  <c r="B106" i="32"/>
  <c r="A95" i="32"/>
  <c r="A83" i="32"/>
  <c r="B34" i="32"/>
  <c r="A20" i="32"/>
  <c r="B26" i="32"/>
  <c r="C90" i="32"/>
  <c r="C78" i="32"/>
  <c r="A66" i="32"/>
  <c r="F28" i="32"/>
  <c r="B90" i="32"/>
  <c r="C41" i="32"/>
  <c r="E28" i="32"/>
  <c r="F6" i="32"/>
  <c r="G18" i="32"/>
  <c r="C79" i="32"/>
  <c r="B70" i="32"/>
  <c r="A61" i="32"/>
  <c r="G51" i="32"/>
  <c r="C15" i="32"/>
  <c r="B6" i="32"/>
  <c r="A94" i="32"/>
  <c r="G84" i="32"/>
  <c r="C48" i="32"/>
  <c r="B39" i="32"/>
  <c r="A30" i="32"/>
  <c r="B57" i="32"/>
  <c r="B45" i="32"/>
  <c r="B18" i="32"/>
  <c r="C123" i="32"/>
  <c r="B114" i="32"/>
  <c r="A105" i="32"/>
  <c r="C81" i="32"/>
  <c r="C69" i="32"/>
  <c r="A57" i="32"/>
  <c r="A18" i="32"/>
  <c r="B101" i="32"/>
  <c r="C52" i="32"/>
  <c r="A40" i="32"/>
  <c r="B27" i="32"/>
  <c r="A10" i="32"/>
  <c r="B64" i="32"/>
  <c r="B52" i="32"/>
  <c r="G39" i="32"/>
  <c r="C9" i="32"/>
  <c r="C13" i="32"/>
  <c r="F17" i="32"/>
  <c r="C87" i="32"/>
  <c r="B78" i="32"/>
  <c r="A69" i="32"/>
  <c r="F50" i="32"/>
  <c r="C23" i="32"/>
  <c r="B14" i="32"/>
  <c r="A102" i="32"/>
  <c r="F83" i="32"/>
  <c r="C56" i="32"/>
  <c r="B47" i="32"/>
  <c r="A38" i="32"/>
  <c r="G28" i="32"/>
  <c r="A99" i="32"/>
  <c r="D62" i="32"/>
  <c r="B50" i="32"/>
  <c r="B33" i="32"/>
  <c r="C121" i="32"/>
  <c r="B112" i="32"/>
  <c r="A103" i="32"/>
  <c r="A91" i="32"/>
  <c r="B42" i="32"/>
  <c r="E29" i="32"/>
  <c r="C122" i="32"/>
  <c r="B113" i="32"/>
  <c r="A104" i="32"/>
  <c r="C92" i="32"/>
  <c r="A80" i="32"/>
  <c r="A68" i="32"/>
  <c r="A31" i="32"/>
  <c r="B122" i="32"/>
  <c r="A113" i="32"/>
  <c r="B92" i="32"/>
  <c r="C43" i="32"/>
  <c r="B16" i="32"/>
  <c r="B75" i="32"/>
  <c r="G62" i="32"/>
  <c r="G50" i="32"/>
  <c r="B25" i="32"/>
  <c r="G6" i="32"/>
  <c r="C109" i="32"/>
  <c r="C99" i="32"/>
  <c r="A87" i="32"/>
  <c r="A75" i="32"/>
  <c r="F62" i="32"/>
  <c r="D50" i="32"/>
  <c r="A25" i="32"/>
  <c r="E6" i="32"/>
  <c r="C21" i="32"/>
  <c r="B12" i="32"/>
  <c r="E16" i="32"/>
  <c r="C95" i="32"/>
  <c r="B86" i="32"/>
  <c r="A77" i="32"/>
  <c r="D40" i="32"/>
  <c r="C31" i="32"/>
  <c r="B22" i="32"/>
  <c r="A13" i="32"/>
  <c r="D73" i="32"/>
  <c r="C64" i="32"/>
  <c r="B55" i="32"/>
  <c r="A46" i="32"/>
  <c r="E18" i="32"/>
  <c r="C97" i="32"/>
  <c r="C85" i="32"/>
  <c r="A73" i="32"/>
  <c r="F29" i="32"/>
  <c r="B120" i="32"/>
  <c r="A111" i="32"/>
  <c r="C89" i="32"/>
  <c r="C77" i="32"/>
  <c r="A65" i="32"/>
  <c r="F40" i="32"/>
  <c r="B11" i="32"/>
  <c r="B121" i="32"/>
  <c r="A112" i="32"/>
  <c r="C66" i="32"/>
  <c r="C54" i="32"/>
  <c r="A42" i="32"/>
  <c r="D29" i="32"/>
  <c r="A121" i="32"/>
  <c r="B66" i="32"/>
  <c r="B29" i="32"/>
  <c r="D117" i="32"/>
  <c r="C108" i="32"/>
  <c r="A98" i="32"/>
  <c r="F73" i="32"/>
  <c r="D61" i="32"/>
  <c r="B49" i="32"/>
  <c r="B37" i="32"/>
  <c r="C117" i="32"/>
  <c r="B108" i="32"/>
  <c r="C73" i="32"/>
  <c r="C61" i="32"/>
  <c r="A49" i="32"/>
  <c r="A23" i="32"/>
  <c r="C29" i="32"/>
  <c r="B20" i="32"/>
  <c r="A11" i="32"/>
  <c r="C6" i="32"/>
  <c r="B94" i="32"/>
  <c r="A85" i="32"/>
  <c r="C39" i="32"/>
  <c r="B30" i="32"/>
  <c r="A21" i="32"/>
  <c r="C72" i="32"/>
  <c r="B63" i="32"/>
  <c r="A54" i="32"/>
  <c r="D17" i="32"/>
  <c r="C8" i="32"/>
  <c r="E83" i="32"/>
  <c r="C59" i="32"/>
  <c r="A47" i="32"/>
  <c r="A35" i="32"/>
  <c r="B24" i="32"/>
  <c r="A119" i="32"/>
  <c r="B100" i="32"/>
  <c r="C51" i="32"/>
  <c r="A39" i="32"/>
  <c r="A26" i="32"/>
  <c r="A8" i="32"/>
  <c r="A120" i="32"/>
  <c r="B89" i="32"/>
  <c r="B77" i="32"/>
  <c r="E40" i="32"/>
  <c r="C101" i="32"/>
  <c r="A89" i="32"/>
  <c r="B40" i="32"/>
  <c r="C27" i="32"/>
  <c r="C10" i="32"/>
  <c r="C116" i="32"/>
  <c r="B107" i="32"/>
  <c r="C84" i="32"/>
  <c r="A72" i="32"/>
  <c r="A60" i="32"/>
  <c r="C125" i="32"/>
  <c r="B116" i="32"/>
  <c r="A107" i="32"/>
  <c r="B96" i="32"/>
  <c r="B84" i="32"/>
  <c r="C35" i="32"/>
  <c r="C11" i="32"/>
  <c r="B28" i="32"/>
  <c r="A19" i="32"/>
  <c r="C14" i="32"/>
  <c r="B102" i="32"/>
  <c r="A93" i="32"/>
  <c r="G83" i="32"/>
  <c r="C47" i="32"/>
  <c r="B38" i="32"/>
  <c r="A29" i="32"/>
  <c r="C80" i="32"/>
  <c r="B71" i="32"/>
  <c r="A62" i="32"/>
  <c r="C16" i="32"/>
  <c r="B7" i="32"/>
  <c r="C33" i="32"/>
  <c r="B19" i="32"/>
  <c r="B8" i="32"/>
  <c r="G117" i="32"/>
  <c r="B74" i="32"/>
  <c r="G61" i="32"/>
  <c r="A24" i="32"/>
  <c r="A100" i="32"/>
  <c r="B51" i="32"/>
  <c r="C75" i="32"/>
  <c r="A63" i="32"/>
  <c r="A51" i="32"/>
  <c r="C25" i="32"/>
  <c r="A7" i="32"/>
  <c r="C124" i="32"/>
  <c r="B115" i="32"/>
  <c r="A106" i="32"/>
  <c r="G94" i="32"/>
  <c r="C58" i="32"/>
  <c r="C46" i="32"/>
  <c r="A34" i="32"/>
  <c r="B124" i="32"/>
  <c r="A115" i="32"/>
  <c r="G105" i="32"/>
  <c r="F94" i="32"/>
  <c r="B58" i="32"/>
  <c r="B10" i="32"/>
  <c r="A27" i="32"/>
  <c r="G17" i="32"/>
  <c r="B13" i="32"/>
  <c r="A101" i="32"/>
  <c r="E73" i="32"/>
  <c r="C55" i="32"/>
  <c r="B46" i="32"/>
  <c r="A37" i="32"/>
  <c r="F18" i="32"/>
  <c r="C88" i="32"/>
  <c r="B79" i="32"/>
  <c r="A70" i="32"/>
  <c r="F51" i="32"/>
  <c r="C24" i="32"/>
  <c r="B15" i="32"/>
  <c r="A6" i="32"/>
  <c r="O66" i="33" l="1"/>
  <c r="G66" i="34" s="1"/>
  <c r="G52" i="34"/>
  <c r="D47" i="32"/>
  <c r="O47" i="31"/>
  <c r="L27" i="31"/>
  <c r="D27" i="32" s="1"/>
  <c r="M27" i="31"/>
  <c r="E27" i="32" s="1"/>
  <c r="F19" i="32"/>
  <c r="N19" i="32" s="1"/>
  <c r="F19" i="33" s="1"/>
  <c r="N19" i="33" s="1"/>
  <c r="F19" i="34" s="1"/>
  <c r="N27" i="31"/>
  <c r="F27" i="32" s="1"/>
  <c r="F64" i="34"/>
  <c r="O125" i="31"/>
  <c r="G125" i="32" s="1"/>
  <c r="O35" i="31"/>
  <c r="G35" i="32" s="1"/>
  <c r="O76" i="31"/>
  <c r="G76" i="32" s="1"/>
  <c r="O124" i="32"/>
  <c r="G124" i="33" s="1"/>
  <c r="O101" i="32"/>
  <c r="G101" i="33" s="1"/>
  <c r="O101" i="33"/>
  <c r="G101" i="34" s="1"/>
  <c r="F76" i="34"/>
  <c r="E101" i="33"/>
  <c r="O87" i="32"/>
  <c r="G87" i="33" s="1"/>
  <c r="O37" i="33"/>
  <c r="G37" i="34" s="1"/>
  <c r="F63" i="34"/>
  <c r="O124" i="31"/>
  <c r="G124" i="32" s="1"/>
  <c r="O19" i="31"/>
  <c r="O108" i="32"/>
  <c r="G108" i="33" s="1"/>
  <c r="F70" i="34"/>
  <c r="O81" i="31"/>
  <c r="G81" i="32" s="1"/>
  <c r="D124" i="32"/>
  <c r="F31" i="34"/>
  <c r="O31" i="33"/>
  <c r="G31" i="34" s="1"/>
  <c r="F45" i="34"/>
  <c r="O45" i="33"/>
  <c r="G45" i="34" s="1"/>
  <c r="O76" i="32"/>
  <c r="G76" i="33" s="1"/>
  <c r="O67" i="33"/>
  <c r="G67" i="34" s="1"/>
  <c r="O58" i="32"/>
  <c r="G58" i="33" s="1"/>
  <c r="D76" i="32"/>
  <c r="O99" i="31"/>
  <c r="G99" i="32" s="1"/>
  <c r="D89" i="32"/>
  <c r="O89" i="31"/>
  <c r="G89" i="32" s="1"/>
  <c r="E65" i="32"/>
  <c r="M65" i="32" s="1"/>
  <c r="M71" i="32" s="1"/>
  <c r="E71" i="33" s="1"/>
  <c r="O65" i="31"/>
  <c r="G65" i="32" s="1"/>
  <c r="F99" i="34"/>
  <c r="O99" i="33"/>
  <c r="G99" i="34" s="1"/>
  <c r="O89" i="32"/>
  <c r="G89" i="33" s="1"/>
  <c r="E89" i="33"/>
  <c r="F79" i="34"/>
  <c r="O79" i="33"/>
  <c r="G79" i="34" s="1"/>
  <c r="O59" i="33"/>
  <c r="G59" i="34" s="1"/>
  <c r="F59" i="34"/>
  <c r="F114" i="34"/>
  <c r="O80" i="32"/>
  <c r="G80" i="33" s="1"/>
  <c r="O20" i="31"/>
  <c r="G20" i="32" s="1"/>
  <c r="O102" i="33"/>
  <c r="G102" i="34" s="1"/>
  <c r="F102" i="34"/>
  <c r="O25" i="32"/>
  <c r="G25" i="33" s="1"/>
  <c r="E25" i="33"/>
  <c r="O97" i="32"/>
  <c r="G97" i="33" s="1"/>
  <c r="F97" i="33"/>
  <c r="N97" i="33" s="1"/>
  <c r="O97" i="33" s="1"/>
  <c r="O25" i="31"/>
  <c r="G25" i="32" s="1"/>
  <c r="F100" i="33"/>
  <c r="N100" i="33" s="1"/>
  <c r="O100" i="32"/>
  <c r="G100" i="33" s="1"/>
  <c r="O24" i="31"/>
  <c r="G24" i="32" s="1"/>
  <c r="D24" i="32"/>
  <c r="M82" i="31"/>
  <c r="E82" i="32" s="1"/>
  <c r="F109" i="34"/>
  <c r="O109" i="33"/>
  <c r="G109" i="34" s="1"/>
  <c r="O77" i="33"/>
  <c r="G77" i="34" s="1"/>
  <c r="F77" i="34"/>
  <c r="O68" i="33"/>
  <c r="G68" i="34" s="1"/>
  <c r="F68" i="34"/>
  <c r="F91" i="33"/>
  <c r="N91" i="33" s="1"/>
  <c r="O91" i="32"/>
  <c r="G91" i="33" s="1"/>
  <c r="O32" i="31"/>
  <c r="G32" i="32" s="1"/>
  <c r="D32" i="32"/>
  <c r="O87" i="31"/>
  <c r="G87" i="32" s="1"/>
  <c r="D87" i="32"/>
  <c r="E120" i="32"/>
  <c r="M120" i="32" s="1"/>
  <c r="O120" i="31"/>
  <c r="G120" i="32" s="1"/>
  <c r="D25" i="32"/>
  <c r="O21" i="31"/>
  <c r="G21" i="32" s="1"/>
  <c r="N71" i="32"/>
  <c r="F71" i="33" s="1"/>
  <c r="O77" i="32"/>
  <c r="G77" i="33" s="1"/>
  <c r="O36" i="33"/>
  <c r="G36" i="34" s="1"/>
  <c r="O92" i="31"/>
  <c r="G92" i="32" s="1"/>
  <c r="O121" i="31"/>
  <c r="G121" i="32" s="1"/>
  <c r="O37" i="32"/>
  <c r="G37" i="33" s="1"/>
  <c r="E124" i="33"/>
  <c r="O114" i="31"/>
  <c r="G114" i="32" s="1"/>
  <c r="O55" i="32"/>
  <c r="G55" i="33" s="1"/>
  <c r="N71" i="33"/>
  <c r="F71" i="34" s="1"/>
  <c r="O37" i="31"/>
  <c r="G37" i="32" s="1"/>
  <c r="N71" i="31"/>
  <c r="F71" i="32" s="1"/>
  <c r="O32" i="32"/>
  <c r="G32" i="33" s="1"/>
  <c r="F122" i="34"/>
  <c r="O65" i="33"/>
  <c r="G65" i="34" s="1"/>
  <c r="O26" i="31"/>
  <c r="G26" i="32" s="1"/>
  <c r="F23" i="34"/>
  <c r="O78" i="31"/>
  <c r="G78" i="32" s="1"/>
  <c r="O21" i="32"/>
  <c r="G21" i="33" s="1"/>
  <c r="O36" i="31"/>
  <c r="G36" i="32" s="1"/>
  <c r="O57" i="31"/>
  <c r="G57" i="32" s="1"/>
  <c r="F56" i="34"/>
  <c r="G69" i="34"/>
  <c r="O57" i="33"/>
  <c r="G57" i="34" s="1"/>
  <c r="F57" i="34"/>
  <c r="O123" i="31"/>
  <c r="G123" i="32" s="1"/>
  <c r="D123" i="32"/>
  <c r="D31" i="32"/>
  <c r="O31" i="31"/>
  <c r="G31" i="32" s="1"/>
  <c r="E86" i="32"/>
  <c r="M86" i="32" s="1"/>
  <c r="M93" i="32" s="1"/>
  <c r="E93" i="33" s="1"/>
  <c r="O86" i="31"/>
  <c r="G86" i="32" s="1"/>
  <c r="O26" i="32"/>
  <c r="G26" i="33" s="1"/>
  <c r="E26" i="33"/>
  <c r="O90" i="33"/>
  <c r="G90" i="34" s="1"/>
  <c r="F90" i="34"/>
  <c r="E46" i="32"/>
  <c r="M46" i="32" s="1"/>
  <c r="O46" i="31"/>
  <c r="G46" i="32" s="1"/>
  <c r="O58" i="31"/>
  <c r="G58" i="32" s="1"/>
  <c r="D58" i="32"/>
  <c r="L9" i="31"/>
  <c r="D9" i="32" s="1"/>
  <c r="D43" i="32"/>
  <c r="E118" i="32"/>
  <c r="M118" i="32" s="1"/>
  <c r="O118" i="32" s="1"/>
  <c r="O118" i="31"/>
  <c r="G118" i="32" s="1"/>
  <c r="M126" i="31"/>
  <c r="E126" i="32" s="1"/>
  <c r="O24" i="32"/>
  <c r="G24" i="33" s="1"/>
  <c r="E24" i="33"/>
  <c r="O121" i="33"/>
  <c r="G121" i="34" s="1"/>
  <c r="F121" i="34"/>
  <c r="F46" i="33"/>
  <c r="N46" i="33" s="1"/>
  <c r="N12" i="33" s="1"/>
  <c r="N12" i="32"/>
  <c r="F12" i="33" s="1"/>
  <c r="O103" i="31"/>
  <c r="G103" i="32" s="1"/>
  <c r="D103" i="32"/>
  <c r="O68" i="31"/>
  <c r="G68" i="32" s="1"/>
  <c r="D68" i="32"/>
  <c r="O22" i="31"/>
  <c r="G22" i="32" s="1"/>
  <c r="D22" i="32"/>
  <c r="E75" i="32"/>
  <c r="M75" i="32" s="1"/>
  <c r="O75" i="32" s="1"/>
  <c r="G75" i="33" s="1"/>
  <c r="O75" i="31"/>
  <c r="G75" i="32" s="1"/>
  <c r="E44" i="32"/>
  <c r="M44" i="32" s="1"/>
  <c r="M10" i="32" s="1"/>
  <c r="O44" i="31"/>
  <c r="G44" i="32" s="1"/>
  <c r="E114" i="33"/>
  <c r="O114" i="32"/>
  <c r="G114" i="33" s="1"/>
  <c r="E109" i="32"/>
  <c r="M109" i="32" s="1"/>
  <c r="O109" i="31"/>
  <c r="G109" i="32" s="1"/>
  <c r="E19" i="32"/>
  <c r="M19" i="32" s="1"/>
  <c r="F81" i="33"/>
  <c r="N81" i="33" s="1"/>
  <c r="N14" i="33" s="1"/>
  <c r="O81" i="32"/>
  <c r="G81" i="33" s="1"/>
  <c r="F20" i="32"/>
  <c r="N20" i="32" s="1"/>
  <c r="N8" i="31"/>
  <c r="F8" i="32" s="1"/>
  <c r="D97" i="32"/>
  <c r="O97" i="31"/>
  <c r="G97" i="32" s="1"/>
  <c r="O66" i="31"/>
  <c r="G66" i="32" s="1"/>
  <c r="D66" i="32"/>
  <c r="E66" i="33"/>
  <c r="O66" i="32"/>
  <c r="G66" i="33" s="1"/>
  <c r="E59" i="33"/>
  <c r="O59" i="32"/>
  <c r="G59" i="33" s="1"/>
  <c r="O86" i="33"/>
  <c r="G86" i="34" s="1"/>
  <c r="F86" i="34"/>
  <c r="F75" i="34"/>
  <c r="O75" i="33"/>
  <c r="G75" i="34" s="1"/>
  <c r="F53" i="32"/>
  <c r="N53" i="32" s="1"/>
  <c r="N60" i="32" s="1"/>
  <c r="F60" i="33" s="1"/>
  <c r="O53" i="31"/>
  <c r="G53" i="32" s="1"/>
  <c r="N60" i="31"/>
  <c r="F60" i="32" s="1"/>
  <c r="O70" i="31"/>
  <c r="G70" i="32" s="1"/>
  <c r="D70" i="32"/>
  <c r="D119" i="32"/>
  <c r="O119" i="31"/>
  <c r="O101" i="31"/>
  <c r="G101" i="32" s="1"/>
  <c r="D101" i="32"/>
  <c r="O56" i="31"/>
  <c r="G56" i="32" s="1"/>
  <c r="D56" i="32"/>
  <c r="E48" i="32"/>
  <c r="M48" i="32" s="1"/>
  <c r="O48" i="31"/>
  <c r="G48" i="32" s="1"/>
  <c r="O42" i="32"/>
  <c r="G42" i="33" s="1"/>
  <c r="E42" i="33"/>
  <c r="E31" i="32"/>
  <c r="M31" i="32" s="1"/>
  <c r="M38" i="31"/>
  <c r="E38" i="32" s="1"/>
  <c r="O22" i="32"/>
  <c r="G22" i="33" s="1"/>
  <c r="E22" i="33"/>
  <c r="O125" i="33"/>
  <c r="G125" i="34" s="1"/>
  <c r="F125" i="34"/>
  <c r="O113" i="33"/>
  <c r="G113" i="34" s="1"/>
  <c r="F113" i="34"/>
  <c r="F85" i="32"/>
  <c r="N85" i="32" s="1"/>
  <c r="N93" i="31"/>
  <c r="F93" i="32" s="1"/>
  <c r="F43" i="34"/>
  <c r="O43" i="33"/>
  <c r="G43" i="34" s="1"/>
  <c r="F33" i="32"/>
  <c r="N33" i="32" s="1"/>
  <c r="N38" i="32" s="1"/>
  <c r="F38" i="33" s="1"/>
  <c r="N10" i="31"/>
  <c r="F10" i="32" s="1"/>
  <c r="O33" i="31"/>
  <c r="G33" i="32" s="1"/>
  <c r="F74" i="33"/>
  <c r="N74" i="33" s="1"/>
  <c r="O74" i="33" s="1"/>
  <c r="N82" i="32"/>
  <c r="F82" i="33" s="1"/>
  <c r="O64" i="31"/>
  <c r="G64" i="32" s="1"/>
  <c r="D64" i="32"/>
  <c r="E107" i="32"/>
  <c r="M107" i="32" s="1"/>
  <c r="O107" i="31"/>
  <c r="G107" i="32" s="1"/>
  <c r="M115" i="31"/>
  <c r="E115" i="32" s="1"/>
  <c r="E70" i="33"/>
  <c r="O70" i="32"/>
  <c r="G70" i="33" s="1"/>
  <c r="E41" i="32"/>
  <c r="M41" i="32" s="1"/>
  <c r="M49" i="31"/>
  <c r="E49" i="32" s="1"/>
  <c r="O41" i="31"/>
  <c r="G41" i="32" s="1"/>
  <c r="F96" i="32"/>
  <c r="N96" i="32" s="1"/>
  <c r="O96" i="32" s="1"/>
  <c r="G96" i="33" s="1"/>
  <c r="N104" i="31"/>
  <c r="F104" i="32" s="1"/>
  <c r="O58" i="33"/>
  <c r="G58" i="34" s="1"/>
  <c r="F58" i="34"/>
  <c r="O69" i="31"/>
  <c r="G69" i="32" s="1"/>
  <c r="O96" i="31"/>
  <c r="E87" i="33"/>
  <c r="O48" i="33"/>
  <c r="G48" i="34" s="1"/>
  <c r="D19" i="32"/>
  <c r="O30" i="31"/>
  <c r="G30" i="32" s="1"/>
  <c r="O88" i="31"/>
  <c r="G88" i="32" s="1"/>
  <c r="O102" i="31"/>
  <c r="G102" i="32" s="1"/>
  <c r="O113" i="31"/>
  <c r="G113" i="32" s="1"/>
  <c r="O69" i="32"/>
  <c r="G69" i="33" s="1"/>
  <c r="E55" i="33"/>
  <c r="O88" i="32"/>
  <c r="G88" i="33" s="1"/>
  <c r="O78" i="33"/>
  <c r="G78" i="34" s="1"/>
  <c r="N82" i="31"/>
  <c r="F82" i="32" s="1"/>
  <c r="N38" i="31"/>
  <c r="F38" i="32" s="1"/>
  <c r="O112" i="31"/>
  <c r="G112" i="32" s="1"/>
  <c r="O23" i="31"/>
  <c r="G23" i="32" s="1"/>
  <c r="O42" i="31"/>
  <c r="G42" i="32" s="1"/>
  <c r="O63" i="32"/>
  <c r="G63" i="33" s="1"/>
  <c r="F69" i="34"/>
  <c r="O79" i="31"/>
  <c r="G79" i="32" s="1"/>
  <c r="O122" i="31"/>
  <c r="G122" i="32" s="1"/>
  <c r="N14" i="31"/>
  <c r="F14" i="32" s="1"/>
  <c r="O98" i="31"/>
  <c r="G98" i="32" s="1"/>
  <c r="O123" i="32"/>
  <c r="G123" i="33" s="1"/>
  <c r="F55" i="34"/>
  <c r="N12" i="31"/>
  <c r="F12" i="32" s="1"/>
  <c r="O110" i="31"/>
  <c r="G110" i="32" s="1"/>
  <c r="D99" i="32"/>
  <c r="O113" i="32"/>
  <c r="G113" i="33" s="1"/>
  <c r="M71" i="31"/>
  <c r="E71" i="32" s="1"/>
  <c r="N126" i="31"/>
  <c r="F126" i="32" s="1"/>
  <c r="N7" i="31"/>
  <c r="F7" i="32" s="1"/>
  <c r="L104" i="31"/>
  <c r="D104" i="32" s="1"/>
  <c r="L12" i="31"/>
  <c r="D12" i="32" s="1"/>
  <c r="N126" i="32"/>
  <c r="F126" i="33" s="1"/>
  <c r="N14" i="32"/>
  <c r="F14" i="33" s="1"/>
  <c r="D91" i="32"/>
  <c r="O91" i="31"/>
  <c r="G91" i="32" s="1"/>
  <c r="L60" i="31"/>
  <c r="D60" i="32" s="1"/>
  <c r="E90" i="33"/>
  <c r="O90" i="32"/>
  <c r="G90" i="33" s="1"/>
  <c r="O59" i="31"/>
  <c r="G59" i="32" s="1"/>
  <c r="D114" i="32"/>
  <c r="L115" i="31"/>
  <c r="D115" i="32" s="1"/>
  <c r="L14" i="31"/>
  <c r="D26" i="32"/>
  <c r="O122" i="32"/>
  <c r="G122" i="33" s="1"/>
  <c r="E122" i="33"/>
  <c r="O112" i="32"/>
  <c r="G112" i="33" s="1"/>
  <c r="E112" i="33"/>
  <c r="E102" i="33"/>
  <c r="O102" i="32"/>
  <c r="G102" i="33" s="1"/>
  <c r="O79" i="32"/>
  <c r="G79" i="33" s="1"/>
  <c r="E79" i="33"/>
  <c r="E74" i="32"/>
  <c r="M74" i="32" s="1"/>
  <c r="O74" i="31"/>
  <c r="E35" i="33"/>
  <c r="O35" i="32"/>
  <c r="G35" i="33" s="1"/>
  <c r="E20" i="32"/>
  <c r="M20" i="32" s="1"/>
  <c r="M8" i="31"/>
  <c r="E8" i="32" s="1"/>
  <c r="D125" i="32"/>
  <c r="N11" i="31"/>
  <c r="F11" i="32" s="1"/>
  <c r="M10" i="31"/>
  <c r="E10" i="32" s="1"/>
  <c r="L126" i="31"/>
  <c r="D126" i="32" s="1"/>
  <c r="O63" i="31"/>
  <c r="L71" i="31"/>
  <c r="D71" i="32" s="1"/>
  <c r="O92" i="32"/>
  <c r="G92" i="33" s="1"/>
  <c r="E78" i="33"/>
  <c r="O78" i="32"/>
  <c r="G78" i="33" s="1"/>
  <c r="E43" i="32"/>
  <c r="M43" i="32" s="1"/>
  <c r="M9" i="31"/>
  <c r="E9" i="32" s="1"/>
  <c r="O43" i="31"/>
  <c r="E34" i="32"/>
  <c r="M34" i="32" s="1"/>
  <c r="M11" i="31"/>
  <c r="E11" i="32" s="1"/>
  <c r="E30" i="32"/>
  <c r="M30" i="32" s="1"/>
  <c r="M7" i="31"/>
  <c r="E111" i="33"/>
  <c r="O111" i="32"/>
  <c r="G111" i="33" s="1"/>
  <c r="F54" i="33"/>
  <c r="N54" i="33" s="1"/>
  <c r="N9" i="33" s="1"/>
  <c r="O54" i="32"/>
  <c r="G54" i="33" s="1"/>
  <c r="N9" i="32"/>
  <c r="O67" i="31"/>
  <c r="G67" i="32" s="1"/>
  <c r="N9" i="31"/>
  <c r="D100" i="32"/>
  <c r="O100" i="31"/>
  <c r="G100" i="32" s="1"/>
  <c r="L13" i="31"/>
  <c r="L8" i="31"/>
  <c r="E108" i="33"/>
  <c r="O125" i="32"/>
  <c r="G125" i="33" s="1"/>
  <c r="E125" i="33"/>
  <c r="M93" i="31"/>
  <c r="E93" i="32" s="1"/>
  <c r="O90" i="31"/>
  <c r="G90" i="32" s="1"/>
  <c r="L10" i="31"/>
  <c r="O55" i="31"/>
  <c r="G55" i="32" s="1"/>
  <c r="D55" i="32"/>
  <c r="O110" i="32"/>
  <c r="G110" i="33" s="1"/>
  <c r="E110" i="33"/>
  <c r="E99" i="33"/>
  <c r="O99" i="32"/>
  <c r="G99" i="33" s="1"/>
  <c r="M60" i="31"/>
  <c r="E60" i="32" s="1"/>
  <c r="E52" i="32"/>
  <c r="M52" i="32" s="1"/>
  <c r="E45" i="32"/>
  <c r="M45" i="32" s="1"/>
  <c r="O45" i="31"/>
  <c r="G45" i="32" s="1"/>
  <c r="E121" i="33"/>
  <c r="O121" i="32"/>
  <c r="G121" i="33" s="1"/>
  <c r="O52" i="31"/>
  <c r="D52" i="32"/>
  <c r="O77" i="31"/>
  <c r="G77" i="32" s="1"/>
  <c r="N115" i="31"/>
  <c r="F115" i="32" s="1"/>
  <c r="O34" i="31"/>
  <c r="G34" i="32" s="1"/>
  <c r="O54" i="31"/>
  <c r="G54" i="32" s="1"/>
  <c r="L82" i="31"/>
  <c r="D82" i="32" s="1"/>
  <c r="L49" i="31"/>
  <c r="D49" i="32" s="1"/>
  <c r="O108" i="31"/>
  <c r="G108" i="32" s="1"/>
  <c r="D108" i="32"/>
  <c r="E98" i="32"/>
  <c r="M98" i="32" s="1"/>
  <c r="M104" i="31"/>
  <c r="E104" i="32" s="1"/>
  <c r="E47" i="33"/>
  <c r="L93" i="31"/>
  <c r="D93" i="32" s="1"/>
  <c r="F111" i="33"/>
  <c r="N111" i="33" s="1"/>
  <c r="N115" i="33" s="1"/>
  <c r="F115" i="34" s="1"/>
  <c r="N115" i="32"/>
  <c r="F115" i="33" s="1"/>
  <c r="N11" i="32"/>
  <c r="F11" i="33" s="1"/>
  <c r="F47" i="32"/>
  <c r="N47" i="32" s="1"/>
  <c r="O47" i="32" s="1"/>
  <c r="G47" i="33" s="1"/>
  <c r="N49" i="31"/>
  <c r="F49" i="32" s="1"/>
  <c r="N13" i="31"/>
  <c r="F13" i="32" s="1"/>
  <c r="O85" i="31"/>
  <c r="O119" i="32"/>
  <c r="G119" i="33" s="1"/>
  <c r="E119" i="33"/>
  <c r="O68" i="32"/>
  <c r="G68" i="33" s="1"/>
  <c r="E68" i="33"/>
  <c r="E64" i="33"/>
  <c r="O64" i="32"/>
  <c r="E57" i="32"/>
  <c r="M57" i="32" s="1"/>
  <c r="M12" i="31"/>
  <c r="E12" i="32" s="1"/>
  <c r="L11" i="31"/>
  <c r="O111" i="31"/>
  <c r="G111" i="32" s="1"/>
  <c r="L7" i="31"/>
  <c r="D121" i="32"/>
  <c r="D80" i="32"/>
  <c r="O80" i="31"/>
  <c r="G80" i="32" s="1"/>
  <c r="L38" i="31"/>
  <c r="D38" i="32" s="1"/>
  <c r="M14" i="31"/>
  <c r="E14" i="32" s="1"/>
  <c r="E103" i="32"/>
  <c r="M103" i="32" s="1"/>
  <c r="E67" i="33"/>
  <c r="O67" i="32"/>
  <c r="G67" i="33" s="1"/>
  <c r="O56" i="32"/>
  <c r="G56" i="33" s="1"/>
  <c r="E56" i="33"/>
  <c r="O23" i="32"/>
  <c r="G23" i="33" s="1"/>
  <c r="E23" i="33"/>
  <c r="E36" i="32"/>
  <c r="M36" i="32" s="1"/>
  <c r="M13" i="32" s="1"/>
  <c r="M13" i="31"/>
  <c r="E13" i="32" s="1"/>
  <c r="E97" i="33"/>
  <c r="O123" i="33"/>
  <c r="G123" i="34" s="1"/>
  <c r="F123" i="34"/>
  <c r="F103" i="34"/>
  <c r="O103" i="33"/>
  <c r="G103" i="34" s="1"/>
  <c r="O98" i="33"/>
  <c r="G98" i="34" s="1"/>
  <c r="F98" i="34"/>
  <c r="F88" i="34"/>
  <c r="O88" i="33"/>
  <c r="G88" i="34" s="1"/>
  <c r="F30" i="34"/>
  <c r="O30" i="33"/>
  <c r="F112" i="34"/>
  <c r="O112" i="33"/>
  <c r="G112" i="34" s="1"/>
  <c r="O42" i="33"/>
  <c r="G42" i="34" s="1"/>
  <c r="F42" i="34"/>
  <c r="O110" i="33"/>
  <c r="G110" i="34" s="1"/>
  <c r="F110" i="34"/>
  <c r="O119" i="33"/>
  <c r="F119" i="34"/>
  <c r="O92" i="33"/>
  <c r="G92" i="34" s="1"/>
  <c r="F92" i="34"/>
  <c r="O34" i="33"/>
  <c r="G34" i="34" s="1"/>
  <c r="F34" i="34"/>
  <c r="G76" i="34"/>
  <c r="N126" i="33"/>
  <c r="F126" i="34" s="1"/>
  <c r="O118" i="33"/>
  <c r="O44" i="33"/>
  <c r="G44" i="34" s="1"/>
  <c r="F44" i="34"/>
  <c r="F80" i="34"/>
  <c r="O80" i="33"/>
  <c r="G80" i="34" s="1"/>
  <c r="F21" i="34"/>
  <c r="O21" i="33"/>
  <c r="G21" i="34" s="1"/>
  <c r="O108" i="33"/>
  <c r="G108" i="34" s="1"/>
  <c r="F108" i="34"/>
  <c r="F52" i="34"/>
  <c r="F32" i="34"/>
  <c r="O32" i="33"/>
  <c r="O26" i="33"/>
  <c r="G26" i="34" s="1"/>
  <c r="F26" i="34"/>
  <c r="F87" i="34"/>
  <c r="O124" i="33"/>
  <c r="G124" i="34" s="1"/>
  <c r="F124" i="34"/>
  <c r="O107" i="33"/>
  <c r="F107" i="34"/>
  <c r="F89" i="34"/>
  <c r="O89" i="33"/>
  <c r="G89" i="34" s="1"/>
  <c r="F35" i="34"/>
  <c r="O35" i="33"/>
  <c r="G35" i="34" s="1"/>
  <c r="F25" i="34"/>
  <c r="O25" i="33"/>
  <c r="G25" i="34" s="1"/>
  <c r="F120" i="34"/>
  <c r="O120" i="33"/>
  <c r="G120" i="34" s="1"/>
  <c r="O22" i="33"/>
  <c r="G22" i="34" s="1"/>
  <c r="O41" i="33"/>
  <c r="O24" i="33"/>
  <c r="G24" i="34" s="1"/>
  <c r="L7" i="30"/>
  <c r="L8" i="30"/>
  <c r="L9" i="30"/>
  <c r="L10" i="30"/>
  <c r="L11" i="30"/>
  <c r="L12" i="30"/>
  <c r="L13" i="30"/>
  <c r="L14" i="30"/>
  <c r="C19" i="30"/>
  <c r="K19" i="30" s="1"/>
  <c r="C30" i="30"/>
  <c r="K30" i="30" s="1"/>
  <c r="C41" i="30"/>
  <c r="K41" i="30" s="1"/>
  <c r="C20" i="30"/>
  <c r="K20" i="30" s="1"/>
  <c r="C21" i="30"/>
  <c r="K21" i="30" s="1"/>
  <c r="C22" i="30"/>
  <c r="K22" i="30" s="1"/>
  <c r="C23" i="30"/>
  <c r="K23" i="30" s="1"/>
  <c r="C24" i="30"/>
  <c r="K24" i="30" s="1"/>
  <c r="C25" i="30"/>
  <c r="K25" i="30" s="1"/>
  <c r="C26" i="30"/>
  <c r="K26" i="30" s="1"/>
  <c r="C31" i="30"/>
  <c r="K31" i="30" s="1"/>
  <c r="C32" i="30"/>
  <c r="K32" i="30" s="1"/>
  <c r="C33" i="30"/>
  <c r="K33" i="30" s="1"/>
  <c r="C34" i="30"/>
  <c r="K34" i="30" s="1"/>
  <c r="C35" i="30"/>
  <c r="K35" i="30" s="1"/>
  <c r="C36" i="30"/>
  <c r="K36" i="30" s="1"/>
  <c r="C37" i="30"/>
  <c r="K37" i="30" s="1"/>
  <c r="C42" i="30"/>
  <c r="K42" i="30" s="1"/>
  <c r="C43" i="30"/>
  <c r="K43" i="30" s="1"/>
  <c r="C44" i="30"/>
  <c r="K44" i="30" s="1"/>
  <c r="C45" i="30"/>
  <c r="K45" i="30" s="1"/>
  <c r="C46" i="30"/>
  <c r="K46" i="30" s="1"/>
  <c r="C47" i="30"/>
  <c r="K47" i="30" s="1"/>
  <c r="C48" i="30"/>
  <c r="K48" i="30" s="1"/>
  <c r="C52" i="30"/>
  <c r="K52" i="30" s="1"/>
  <c r="C53" i="30"/>
  <c r="K53" i="30" s="1"/>
  <c r="C54" i="30"/>
  <c r="K54" i="30" s="1"/>
  <c r="C55" i="30"/>
  <c r="K55" i="30" s="1"/>
  <c r="C56" i="30"/>
  <c r="K56" i="30" s="1"/>
  <c r="C57" i="30"/>
  <c r="K57" i="30" s="1"/>
  <c r="C58" i="30"/>
  <c r="K58" i="30" s="1"/>
  <c r="C59" i="30"/>
  <c r="K59" i="30" s="1"/>
  <c r="C63" i="30"/>
  <c r="K63" i="30" s="1"/>
  <c r="C64" i="30"/>
  <c r="K64" i="30" s="1"/>
  <c r="C65" i="30"/>
  <c r="K65" i="30" s="1"/>
  <c r="C66" i="30"/>
  <c r="K66" i="30" s="1"/>
  <c r="C67" i="30"/>
  <c r="K67" i="30" s="1"/>
  <c r="C68" i="30"/>
  <c r="K68" i="30" s="1"/>
  <c r="C69" i="30"/>
  <c r="K69" i="30" s="1"/>
  <c r="C70" i="30"/>
  <c r="K70" i="30" s="1"/>
  <c r="C74" i="30"/>
  <c r="K74" i="30" s="1"/>
  <c r="C75" i="30"/>
  <c r="K75" i="30" s="1"/>
  <c r="C76" i="30"/>
  <c r="K76" i="30" s="1"/>
  <c r="C77" i="30"/>
  <c r="K77" i="30" s="1"/>
  <c r="C78" i="30"/>
  <c r="K78" i="30" s="1"/>
  <c r="C79" i="30"/>
  <c r="K79" i="30" s="1"/>
  <c r="C80" i="30"/>
  <c r="K80" i="30" s="1"/>
  <c r="C81" i="30"/>
  <c r="K81" i="30" s="1"/>
  <c r="C85" i="30"/>
  <c r="K85" i="30" s="1"/>
  <c r="C86" i="30"/>
  <c r="K86" i="30" s="1"/>
  <c r="C87" i="30"/>
  <c r="K87" i="30" s="1"/>
  <c r="C88" i="30"/>
  <c r="K88" i="30" s="1"/>
  <c r="C89" i="30"/>
  <c r="K89" i="30" s="1"/>
  <c r="C90" i="30"/>
  <c r="K90" i="30" s="1"/>
  <c r="C91" i="30"/>
  <c r="K91" i="30" s="1"/>
  <c r="C92" i="30"/>
  <c r="K92" i="30" s="1"/>
  <c r="C96" i="30"/>
  <c r="K96" i="30" s="1"/>
  <c r="C97" i="30"/>
  <c r="K97" i="30" s="1"/>
  <c r="C98" i="30"/>
  <c r="K98" i="30" s="1"/>
  <c r="C99" i="30"/>
  <c r="K99" i="30" s="1"/>
  <c r="C100" i="30"/>
  <c r="K100" i="30" s="1"/>
  <c r="C101" i="30"/>
  <c r="K101" i="30" s="1"/>
  <c r="C102" i="30"/>
  <c r="K102" i="30" s="1"/>
  <c r="C103" i="30"/>
  <c r="K103" i="30" s="1"/>
  <c r="C107" i="30"/>
  <c r="K107" i="30" s="1"/>
  <c r="C108" i="30"/>
  <c r="K108" i="30" s="1"/>
  <c r="C109" i="30"/>
  <c r="K109" i="30" s="1"/>
  <c r="C110" i="30"/>
  <c r="K110" i="30" s="1"/>
  <c r="C111" i="30"/>
  <c r="K111" i="30" s="1"/>
  <c r="C112" i="30"/>
  <c r="K112" i="30" s="1"/>
  <c r="C113" i="30"/>
  <c r="K113" i="30" s="1"/>
  <c r="C114" i="30"/>
  <c r="K114" i="30" s="1"/>
  <c r="C118" i="30"/>
  <c r="K118" i="30" s="1"/>
  <c r="C119" i="30"/>
  <c r="K119" i="30" s="1"/>
  <c r="C120" i="30"/>
  <c r="K120" i="30" s="1"/>
  <c r="C121" i="30"/>
  <c r="K121" i="30" s="1"/>
  <c r="C122" i="30"/>
  <c r="K122" i="30" s="1"/>
  <c r="C123" i="30"/>
  <c r="K123" i="30" s="1"/>
  <c r="C124" i="30"/>
  <c r="K124" i="30" s="1"/>
  <c r="C125" i="30"/>
  <c r="K125" i="30" s="1"/>
  <c r="G118" i="34" l="1"/>
  <c r="O126" i="33"/>
  <c r="G126" i="34" s="1"/>
  <c r="G74" i="34"/>
  <c r="G30" i="34"/>
  <c r="E75" i="33"/>
  <c r="O19" i="33"/>
  <c r="G19" i="34" s="1"/>
  <c r="G19" i="32"/>
  <c r="O27" i="31"/>
  <c r="G27" i="32" s="1"/>
  <c r="M115" i="32"/>
  <c r="E115" i="33" s="1"/>
  <c r="M27" i="32"/>
  <c r="E27" i="33" s="1"/>
  <c r="F97" i="34"/>
  <c r="M126" i="32"/>
  <c r="E126" i="33" s="1"/>
  <c r="M11" i="32"/>
  <c r="E11" i="33" s="1"/>
  <c r="O71" i="33"/>
  <c r="G71" i="34" s="1"/>
  <c r="O86" i="32"/>
  <c r="G86" i="33" s="1"/>
  <c r="E86" i="33"/>
  <c r="N11" i="33"/>
  <c r="O11" i="33" s="1"/>
  <c r="G11" i="34" s="1"/>
  <c r="O65" i="32"/>
  <c r="G65" i="33" s="1"/>
  <c r="E65" i="33"/>
  <c r="K10" i="30"/>
  <c r="E118" i="33"/>
  <c r="F74" i="34"/>
  <c r="O100" i="33"/>
  <c r="G100" i="34" s="1"/>
  <c r="F100" i="34"/>
  <c r="N82" i="33"/>
  <c r="F82" i="34" s="1"/>
  <c r="O107" i="32"/>
  <c r="G107" i="33" s="1"/>
  <c r="O91" i="33"/>
  <c r="G91" i="34" s="1"/>
  <c r="F91" i="34"/>
  <c r="E107" i="33"/>
  <c r="O104" i="31"/>
  <c r="G104" i="32" s="1"/>
  <c r="M49" i="32"/>
  <c r="E49" i="33" s="1"/>
  <c r="O120" i="32"/>
  <c r="G120" i="33" s="1"/>
  <c r="E120" i="33"/>
  <c r="O31" i="32"/>
  <c r="G31" i="33" s="1"/>
  <c r="E31" i="33"/>
  <c r="F20" i="33"/>
  <c r="N20" i="33" s="1"/>
  <c r="N27" i="32"/>
  <c r="F27" i="33" s="1"/>
  <c r="N8" i="32"/>
  <c r="F8" i="33" s="1"/>
  <c r="O126" i="31"/>
  <c r="G126" i="32" s="1"/>
  <c r="G119" i="32"/>
  <c r="O46" i="32"/>
  <c r="G46" i="33" s="1"/>
  <c r="E46" i="33"/>
  <c r="K71" i="30"/>
  <c r="G96" i="32"/>
  <c r="F81" i="34"/>
  <c r="O81" i="33"/>
  <c r="G81" i="34" s="1"/>
  <c r="E44" i="33"/>
  <c r="O44" i="32"/>
  <c r="G44" i="33" s="1"/>
  <c r="K82" i="30"/>
  <c r="K11" i="30"/>
  <c r="F33" i="33"/>
  <c r="N33" i="33" s="1"/>
  <c r="N10" i="32"/>
  <c r="F10" i="33" s="1"/>
  <c r="O33" i="32"/>
  <c r="G33" i="33" s="1"/>
  <c r="O48" i="32"/>
  <c r="G48" i="33" s="1"/>
  <c r="E48" i="33"/>
  <c r="O19" i="32"/>
  <c r="G19" i="33" s="1"/>
  <c r="E19" i="33"/>
  <c r="O46" i="33"/>
  <c r="G46" i="34" s="1"/>
  <c r="F46" i="34"/>
  <c r="L15" i="30"/>
  <c r="N104" i="32"/>
  <c r="F104" i="33" s="1"/>
  <c r="F96" i="33"/>
  <c r="N96" i="33" s="1"/>
  <c r="E41" i="33"/>
  <c r="O41" i="32"/>
  <c r="G41" i="33" s="1"/>
  <c r="F85" i="33"/>
  <c r="N85" i="33" s="1"/>
  <c r="N93" i="32"/>
  <c r="F93" i="33" s="1"/>
  <c r="O85" i="32"/>
  <c r="G85" i="33" s="1"/>
  <c r="N7" i="32"/>
  <c r="F7" i="33" s="1"/>
  <c r="O109" i="32"/>
  <c r="G109" i="33" s="1"/>
  <c r="E109" i="33"/>
  <c r="K14" i="30"/>
  <c r="F53" i="33"/>
  <c r="N53" i="33" s="1"/>
  <c r="O53" i="32"/>
  <c r="G53" i="33" s="1"/>
  <c r="K60" i="30"/>
  <c r="K93" i="30"/>
  <c r="K49" i="30"/>
  <c r="K115" i="30"/>
  <c r="K38" i="30"/>
  <c r="K8" i="30"/>
  <c r="K104" i="30"/>
  <c r="K27" i="30"/>
  <c r="K9" i="30"/>
  <c r="K126" i="30"/>
  <c r="K13" i="30"/>
  <c r="K12" i="30"/>
  <c r="F12" i="34"/>
  <c r="O12" i="33"/>
  <c r="G12" i="34" s="1"/>
  <c r="O7" i="31"/>
  <c r="D7" i="32"/>
  <c r="L15" i="31"/>
  <c r="M82" i="32"/>
  <c r="E82" i="33" s="1"/>
  <c r="E74" i="33"/>
  <c r="O74" i="32"/>
  <c r="K7" i="30"/>
  <c r="G119" i="34"/>
  <c r="G118" i="33"/>
  <c r="F111" i="34"/>
  <c r="O111" i="33"/>
  <c r="G111" i="34" s="1"/>
  <c r="O10" i="31"/>
  <c r="G10" i="32" s="1"/>
  <c r="D10" i="32"/>
  <c r="F9" i="33"/>
  <c r="O34" i="32"/>
  <c r="G34" i="33" s="1"/>
  <c r="E34" i="33"/>
  <c r="E13" i="33"/>
  <c r="D8" i="32"/>
  <c r="O8" i="31"/>
  <c r="G8" i="32" s="1"/>
  <c r="G43" i="32"/>
  <c r="G47" i="32"/>
  <c r="G85" i="32"/>
  <c r="O93" i="31"/>
  <c r="G93" i="32" s="1"/>
  <c r="O45" i="32"/>
  <c r="G45" i="33" s="1"/>
  <c r="E45" i="33"/>
  <c r="O13" i="31"/>
  <c r="G13" i="32" s="1"/>
  <c r="D13" i="32"/>
  <c r="O54" i="33"/>
  <c r="F54" i="34"/>
  <c r="M8" i="32"/>
  <c r="O20" i="32"/>
  <c r="E20" i="33"/>
  <c r="O12" i="31"/>
  <c r="G12" i="32" s="1"/>
  <c r="O98" i="32"/>
  <c r="E98" i="33"/>
  <c r="G41" i="34"/>
  <c r="O14" i="33"/>
  <c r="G14" i="34" s="1"/>
  <c r="F14" i="34"/>
  <c r="G97" i="34"/>
  <c r="E57" i="33"/>
  <c r="O57" i="32"/>
  <c r="G57" i="33" s="1"/>
  <c r="O115" i="31"/>
  <c r="G115" i="32" s="1"/>
  <c r="M60" i="32"/>
  <c r="E60" i="33" s="1"/>
  <c r="O52" i="32"/>
  <c r="E52" i="33"/>
  <c r="E43" i="33"/>
  <c r="O43" i="32"/>
  <c r="M9" i="32"/>
  <c r="G63" i="32"/>
  <c r="O71" i="31"/>
  <c r="G71" i="32" s="1"/>
  <c r="M12" i="32"/>
  <c r="O14" i="31"/>
  <c r="G14" i="32" s="1"/>
  <c r="D14" i="32"/>
  <c r="O9" i="33"/>
  <c r="G9" i="34" s="1"/>
  <c r="F9" i="34"/>
  <c r="G64" i="33"/>
  <c r="O36" i="32"/>
  <c r="G36" i="33" s="1"/>
  <c r="E36" i="33"/>
  <c r="M104" i="32"/>
  <c r="E104" i="33" s="1"/>
  <c r="F47" i="33"/>
  <c r="N47" i="33" s="1"/>
  <c r="N13" i="32"/>
  <c r="F13" i="33" s="1"/>
  <c r="N49" i="32"/>
  <c r="F49" i="33" s="1"/>
  <c r="F9" i="32"/>
  <c r="N15" i="31"/>
  <c r="F15" i="32" s="1"/>
  <c r="M15" i="31"/>
  <c r="E15" i="32" s="1"/>
  <c r="E7" i="32"/>
  <c r="O38" i="31"/>
  <c r="G38" i="32" s="1"/>
  <c r="O11" i="31"/>
  <c r="G11" i="32" s="1"/>
  <c r="D11" i="32"/>
  <c r="G107" i="34"/>
  <c r="G32" i="34"/>
  <c r="O103" i="32"/>
  <c r="G103" i="33" s="1"/>
  <c r="E103" i="33"/>
  <c r="G52" i="32"/>
  <c r="O60" i="31"/>
  <c r="G60" i="32" s="1"/>
  <c r="E10" i="33"/>
  <c r="M38" i="32"/>
  <c r="E38" i="33" s="1"/>
  <c r="O30" i="32"/>
  <c r="E30" i="33"/>
  <c r="M7" i="32"/>
  <c r="M14" i="32"/>
  <c r="O82" i="31"/>
  <c r="G82" i="32" s="1"/>
  <c r="G74" i="32"/>
  <c r="O9" i="31"/>
  <c r="G9" i="32" s="1"/>
  <c r="F10" i="28"/>
  <c r="O82" i="33" l="1"/>
  <c r="G82" i="34" s="1"/>
  <c r="O11" i="32"/>
  <c r="G11" i="33" s="1"/>
  <c r="O71" i="32"/>
  <c r="G71" i="33" s="1"/>
  <c r="O10" i="32"/>
  <c r="G10" i="33" s="1"/>
  <c r="O93" i="32"/>
  <c r="G93" i="33" s="1"/>
  <c r="O115" i="33"/>
  <c r="G115" i="34" s="1"/>
  <c r="O126" i="32"/>
  <c r="G126" i="33" s="1"/>
  <c r="O115" i="32"/>
  <c r="G115" i="33" s="1"/>
  <c r="F11" i="34"/>
  <c r="O53" i="33"/>
  <c r="F53" i="34"/>
  <c r="N60" i="33"/>
  <c r="F60" i="34" s="1"/>
  <c r="F96" i="34"/>
  <c r="O96" i="33"/>
  <c r="N104" i="33"/>
  <c r="F104" i="34" s="1"/>
  <c r="F33" i="34"/>
  <c r="O33" i="33"/>
  <c r="O38" i="33" s="1"/>
  <c r="N38" i="33"/>
  <c r="F38" i="34" s="1"/>
  <c r="N10" i="33"/>
  <c r="O20" i="33"/>
  <c r="F20" i="34"/>
  <c r="N8" i="33"/>
  <c r="N27" i="33"/>
  <c r="F27" i="34" s="1"/>
  <c r="N7" i="33"/>
  <c r="F85" i="34"/>
  <c r="O85" i="33"/>
  <c r="N93" i="33"/>
  <c r="F93" i="34" s="1"/>
  <c r="F11" i="28"/>
  <c r="O27" i="32"/>
  <c r="G27" i="33" s="1"/>
  <c r="G20" i="33"/>
  <c r="O38" i="32"/>
  <c r="G38" i="33" s="1"/>
  <c r="G30" i="33"/>
  <c r="K15" i="30"/>
  <c r="C15" i="31" s="1"/>
  <c r="O82" i="32"/>
  <c r="G82" i="33" s="1"/>
  <c r="G74" i="33"/>
  <c r="O60" i="32"/>
  <c r="G60" i="33" s="1"/>
  <c r="G52" i="33"/>
  <c r="E7" i="33"/>
  <c r="M15" i="32"/>
  <c r="O7" i="32"/>
  <c r="O14" i="32"/>
  <c r="G14" i="33" s="1"/>
  <c r="E14" i="33"/>
  <c r="D15" i="32"/>
  <c r="O2" i="31"/>
  <c r="O8" i="32"/>
  <c r="G8" i="33" s="1"/>
  <c r="E8" i="33"/>
  <c r="E9" i="33"/>
  <c r="O9" i="32"/>
  <c r="G9" i="33" s="1"/>
  <c r="G98" i="33"/>
  <c r="O104" i="32"/>
  <c r="G104" i="33" s="1"/>
  <c r="O49" i="31"/>
  <c r="G49" i="32" s="1"/>
  <c r="G7" i="32"/>
  <c r="O15" i="31"/>
  <c r="G15" i="32" s="1"/>
  <c r="F47" i="34"/>
  <c r="O47" i="33"/>
  <c r="N13" i="33"/>
  <c r="N49" i="33"/>
  <c r="F49" i="34" s="1"/>
  <c r="G43" i="33"/>
  <c r="O49" i="32"/>
  <c r="G49" i="33" s="1"/>
  <c r="G54" i="34"/>
  <c r="E12" i="33"/>
  <c r="O12" i="32"/>
  <c r="G12" i="33" s="1"/>
  <c r="O13" i="32"/>
  <c r="G13" i="33" s="1"/>
  <c r="N15" i="32"/>
  <c r="F15" i="33" s="1"/>
  <c r="N104" i="30"/>
  <c r="F104" i="31" s="1"/>
  <c r="C10" i="31"/>
  <c r="C100" i="31"/>
  <c r="A76" i="31"/>
  <c r="C7" i="31"/>
  <c r="B107" i="31"/>
  <c r="B42" i="31"/>
  <c r="O121" i="30"/>
  <c r="G121" i="31" s="1"/>
  <c r="B89" i="31"/>
  <c r="B99" i="31"/>
  <c r="F62" i="31"/>
  <c r="E50" i="31"/>
  <c r="C124" i="31"/>
  <c r="B115" i="31"/>
  <c r="A106" i="31"/>
  <c r="A96" i="31"/>
  <c r="M71" i="30"/>
  <c r="E71" i="31" s="1"/>
  <c r="O56" i="30"/>
  <c r="G56" i="31" s="1"/>
  <c r="G39" i="31"/>
  <c r="A92" i="31"/>
  <c r="B80" i="31"/>
  <c r="O65" i="30"/>
  <c r="G65" i="31" s="1"/>
  <c r="B51" i="31"/>
  <c r="O32" i="30"/>
  <c r="G32" i="31" s="1"/>
  <c r="M14" i="30"/>
  <c r="E14" i="31" s="1"/>
  <c r="C110" i="31"/>
  <c r="C85" i="31"/>
  <c r="O45" i="30"/>
  <c r="G45" i="31" s="1"/>
  <c r="B17" i="31"/>
  <c r="L104" i="30"/>
  <c r="D104" i="31" s="1"/>
  <c r="C74" i="31"/>
  <c r="L27" i="30"/>
  <c r="D27" i="31" s="1"/>
  <c r="A98" i="31"/>
  <c r="D61" i="31"/>
  <c r="B18" i="31"/>
  <c r="C121" i="31"/>
  <c r="O85" i="30"/>
  <c r="G85" i="31" s="1"/>
  <c r="O86" i="30"/>
  <c r="G86" i="31" s="1"/>
  <c r="O87" i="30"/>
  <c r="G87" i="31" s="1"/>
  <c r="O88" i="30"/>
  <c r="G88" i="31" s="1"/>
  <c r="O89" i="30"/>
  <c r="G89" i="31" s="1"/>
  <c r="O90" i="30"/>
  <c r="G90" i="31" s="1"/>
  <c r="O91" i="30"/>
  <c r="G91" i="31" s="1"/>
  <c r="O92" i="30"/>
  <c r="G92" i="31" s="1"/>
  <c r="C61" i="31"/>
  <c r="N7" i="30"/>
  <c r="F7" i="31" s="1"/>
  <c r="N8" i="30"/>
  <c r="N9" i="30"/>
  <c r="F9" i="31" s="1"/>
  <c r="N10" i="30"/>
  <c r="N11" i="30"/>
  <c r="F11" i="31" s="1"/>
  <c r="N12" i="30"/>
  <c r="F12" i="31" s="1"/>
  <c r="N13" i="30"/>
  <c r="F13" i="31" s="1"/>
  <c r="N14" i="30"/>
  <c r="F14" i="31" s="1"/>
  <c r="O118" i="30"/>
  <c r="G118" i="31" s="1"/>
  <c r="A95" i="31"/>
  <c r="N60" i="30"/>
  <c r="F60" i="31" s="1"/>
  <c r="D10" i="31"/>
  <c r="L38" i="30"/>
  <c r="D38" i="31" s="1"/>
  <c r="D14" i="31"/>
  <c r="A68" i="31"/>
  <c r="B45" i="31"/>
  <c r="B21" i="31"/>
  <c r="D72" i="31"/>
  <c r="M49" i="30"/>
  <c r="E49" i="31" s="1"/>
  <c r="C96" i="31"/>
  <c r="D73" i="31"/>
  <c r="L49" i="30"/>
  <c r="D49" i="31" s="1"/>
  <c r="B23" i="31"/>
  <c r="C108" i="31"/>
  <c r="L60" i="30"/>
  <c r="D60" i="31" s="1"/>
  <c r="A123" i="31"/>
  <c r="C118" i="31"/>
  <c r="D83" i="31"/>
  <c r="A103" i="31"/>
  <c r="O69" i="30"/>
  <c r="G69" i="31" s="1"/>
  <c r="N49" i="30"/>
  <c r="F49" i="31" s="1"/>
  <c r="B31" i="31"/>
  <c r="C116" i="31"/>
  <c r="B35" i="31"/>
  <c r="B48" i="31"/>
  <c r="A126" i="31"/>
  <c r="C22" i="31"/>
  <c r="O76" i="30"/>
  <c r="G76" i="31" s="1"/>
  <c r="N126" i="30"/>
  <c r="F126" i="31" s="1"/>
  <c r="B123" i="31"/>
  <c r="A114" i="31"/>
  <c r="O96" i="30"/>
  <c r="G96" i="31" s="1"/>
  <c r="O97" i="30"/>
  <c r="G97" i="31" s="1"/>
  <c r="O98" i="30"/>
  <c r="G98" i="31" s="1"/>
  <c r="O99" i="30"/>
  <c r="G99" i="31" s="1"/>
  <c r="O100" i="30"/>
  <c r="G100" i="31" s="1"/>
  <c r="O101" i="30"/>
  <c r="G101" i="31" s="1"/>
  <c r="O102" i="30"/>
  <c r="G102" i="31" s="1"/>
  <c r="O103" i="30"/>
  <c r="G103" i="31" s="1"/>
  <c r="F94" i="31"/>
  <c r="B84" i="31"/>
  <c r="O54" i="30"/>
  <c r="G54" i="31" s="1"/>
  <c r="C19" i="31"/>
  <c r="G94" i="31"/>
  <c r="C26" i="31"/>
  <c r="B101" i="31"/>
  <c r="O63" i="30"/>
  <c r="G63" i="31" s="1"/>
  <c r="O48" i="30"/>
  <c r="G48" i="31" s="1"/>
  <c r="C12" i="31"/>
  <c r="E62" i="31"/>
  <c r="B109" i="31"/>
  <c r="A39" i="31"/>
  <c r="B126" i="31"/>
  <c r="B25" i="31"/>
  <c r="A118" i="31"/>
  <c r="B94" i="31"/>
  <c r="A8" i="31"/>
  <c r="G117" i="31"/>
  <c r="A7" i="31"/>
  <c r="F117" i="31"/>
  <c r="G6" i="31"/>
  <c r="O33" i="30"/>
  <c r="G33" i="31" s="1"/>
  <c r="A11" i="31"/>
  <c r="O66" i="30"/>
  <c r="G66" i="31" s="1"/>
  <c r="E40" i="31"/>
  <c r="F17" i="31"/>
  <c r="C71" i="31"/>
  <c r="A45" i="31"/>
  <c r="B22" i="31"/>
  <c r="B95" i="31"/>
  <c r="O68" i="30"/>
  <c r="G68" i="31" s="1"/>
  <c r="A46" i="31"/>
  <c r="A22" i="31"/>
  <c r="M126" i="30"/>
  <c r="E126" i="31" s="1"/>
  <c r="B88" i="31"/>
  <c r="A59" i="31"/>
  <c r="E94" i="31"/>
  <c r="B9" i="31"/>
  <c r="C104" i="31"/>
  <c r="O26" i="30"/>
  <c r="G26" i="31" s="1"/>
  <c r="A78" i="31"/>
  <c r="C97" i="31"/>
  <c r="O23" i="30"/>
  <c r="G23" i="31" s="1"/>
  <c r="C77" i="31"/>
  <c r="A18" i="31"/>
  <c r="O41" i="30"/>
  <c r="G41" i="31" s="1"/>
  <c r="E72" i="31"/>
  <c r="A122" i="31"/>
  <c r="A17" i="31"/>
  <c r="G61" i="31"/>
  <c r="C28" i="31"/>
  <c r="C9" i="31"/>
  <c r="F105" i="31"/>
  <c r="G29" i="31"/>
  <c r="B98" i="31"/>
  <c r="E61" i="31"/>
  <c r="C18" i="31"/>
  <c r="G116" i="31"/>
  <c r="O53" i="30"/>
  <c r="G53" i="31" s="1"/>
  <c r="A113" i="31"/>
  <c r="C113" i="31"/>
  <c r="B52" i="31"/>
  <c r="B96" i="31"/>
  <c r="C114" i="31"/>
  <c r="A47" i="31"/>
  <c r="F6" i="31"/>
  <c r="D6" i="31"/>
  <c r="D39" i="31"/>
  <c r="B13" i="31"/>
  <c r="O67" i="30"/>
  <c r="G67" i="31" s="1"/>
  <c r="O43" i="30"/>
  <c r="G43" i="31" s="1"/>
  <c r="E17" i="31"/>
  <c r="E18" i="31"/>
  <c r="D117" i="31"/>
  <c r="B75" i="31"/>
  <c r="B114" i="31"/>
  <c r="G83" i="31"/>
  <c r="B19" i="31"/>
  <c r="B56" i="31"/>
  <c r="B74" i="31"/>
  <c r="B27" i="31"/>
  <c r="A43" i="31"/>
  <c r="B55" i="31"/>
  <c r="C93" i="31"/>
  <c r="G16" i="31"/>
  <c r="O107" i="30"/>
  <c r="G107" i="31" s="1"/>
  <c r="A25" i="31"/>
  <c r="A99" i="31"/>
  <c r="M7" i="30"/>
  <c r="E7" i="31" s="1"/>
  <c r="M8" i="30"/>
  <c r="E8" i="31" s="1"/>
  <c r="M9" i="30"/>
  <c r="E9" i="31" s="1"/>
  <c r="M10" i="30"/>
  <c r="E10" i="31" s="1"/>
  <c r="M11" i="30"/>
  <c r="E11" i="31" s="1"/>
  <c r="M12" i="30"/>
  <c r="M13" i="30"/>
  <c r="E13" i="31" s="1"/>
  <c r="A77" i="31"/>
  <c r="A53" i="31"/>
  <c r="O112" i="30"/>
  <c r="G112" i="31" s="1"/>
  <c r="C82" i="31"/>
  <c r="A24" i="31"/>
  <c r="B122" i="31"/>
  <c r="O120" i="30"/>
  <c r="G120" i="31" s="1"/>
  <c r="B92" i="31"/>
  <c r="A66" i="31"/>
  <c r="C51" i="31"/>
  <c r="A33" i="31"/>
  <c r="C84" i="31"/>
  <c r="L126" i="30"/>
  <c r="D126" i="31" s="1"/>
  <c r="C117" i="31"/>
  <c r="B108" i="31"/>
  <c r="A88" i="31"/>
  <c r="A75" i="31"/>
  <c r="C60" i="31"/>
  <c r="C44" i="31"/>
  <c r="A26" i="31"/>
  <c r="C115" i="31"/>
  <c r="A101" i="31"/>
  <c r="O70" i="30"/>
  <c r="G70" i="31" s="1"/>
  <c r="M27" i="30"/>
  <c r="E27" i="31" s="1"/>
  <c r="B118" i="31"/>
  <c r="C94" i="31"/>
  <c r="B8" i="31"/>
  <c r="A91" i="31"/>
  <c r="B112" i="31"/>
  <c r="B83" i="31"/>
  <c r="D84" i="31"/>
  <c r="E6" i="31"/>
  <c r="C29" i="31"/>
  <c r="B85" i="31"/>
  <c r="O58" i="30"/>
  <c r="G58" i="31" s="1"/>
  <c r="A36" i="31"/>
  <c r="A12" i="31"/>
  <c r="C63" i="31"/>
  <c r="D40" i="31"/>
  <c r="D16" i="31"/>
  <c r="B87" i="31"/>
  <c r="C64" i="31"/>
  <c r="C40" i="31"/>
  <c r="A14" i="31"/>
  <c r="B26" i="31"/>
  <c r="A109" i="31"/>
  <c r="C27" i="31"/>
  <c r="O119" i="30"/>
  <c r="O122" i="30"/>
  <c r="G122" i="31" s="1"/>
  <c r="O123" i="30"/>
  <c r="G123" i="31" s="1"/>
  <c r="O124" i="30"/>
  <c r="G124" i="31" s="1"/>
  <c r="O125" i="30"/>
  <c r="G125" i="31" s="1"/>
  <c r="B20" i="31"/>
  <c r="C31" i="31"/>
  <c r="B73" i="31"/>
  <c r="O46" i="30"/>
  <c r="G46" i="31" s="1"/>
  <c r="B82" i="31"/>
  <c r="O114" i="30"/>
  <c r="G114" i="31" s="1"/>
  <c r="C76" i="31"/>
  <c r="N27" i="30"/>
  <c r="F27" i="31" s="1"/>
  <c r="C53" i="31"/>
  <c r="C109" i="31"/>
  <c r="A121" i="31"/>
  <c r="C101" i="31"/>
  <c r="A64" i="31"/>
  <c r="A49" i="31"/>
  <c r="D12" i="31"/>
  <c r="C75" i="31"/>
  <c r="C125" i="31"/>
  <c r="B116" i="31"/>
  <c r="A107" i="31"/>
  <c r="B97" i="31"/>
  <c r="A73" i="31"/>
  <c r="C58" i="31"/>
  <c r="A42" i="31"/>
  <c r="A124" i="31"/>
  <c r="A117" i="31"/>
  <c r="A89" i="31"/>
  <c r="E117" i="31"/>
  <c r="O108" i="30"/>
  <c r="G108" i="31" s="1"/>
  <c r="C83" i="31"/>
  <c r="C43" i="31"/>
  <c r="A57" i="31"/>
  <c r="B81" i="31"/>
  <c r="C36" i="31"/>
  <c r="M60" i="30"/>
  <c r="E60" i="31" s="1"/>
  <c r="O37" i="30"/>
  <c r="G37" i="31" s="1"/>
  <c r="A51" i="31"/>
  <c r="B62" i="31"/>
  <c r="O35" i="30"/>
  <c r="G35" i="31" s="1"/>
  <c r="A13" i="31"/>
  <c r="A86" i="31"/>
  <c r="O36" i="30"/>
  <c r="G36" i="31" s="1"/>
  <c r="O113" i="30"/>
  <c r="G113" i="31" s="1"/>
  <c r="B54" i="31"/>
  <c r="C99" i="31"/>
  <c r="C123" i="31"/>
  <c r="L93" i="30"/>
  <c r="D93" i="31" s="1"/>
  <c r="C35" i="31"/>
  <c r="C89" i="31"/>
  <c r="A100" i="31"/>
  <c r="D62" i="31"/>
  <c r="D28" i="31"/>
  <c r="B10" i="31"/>
  <c r="B66" i="31"/>
  <c r="B124" i="31"/>
  <c r="A115" i="31"/>
  <c r="G105" i="31"/>
  <c r="G95" i="31"/>
  <c r="A71" i="31"/>
  <c r="F39" i="31"/>
  <c r="M93" i="30"/>
  <c r="E93" i="31" s="1"/>
  <c r="F95" i="31"/>
  <c r="F61" i="31"/>
  <c r="B100" i="31"/>
  <c r="B76" i="31"/>
  <c r="B104" i="31"/>
  <c r="A34" i="31"/>
  <c r="B105" i="31"/>
  <c r="F28" i="31"/>
  <c r="B77" i="31"/>
  <c r="C54" i="31"/>
  <c r="C30" i="31"/>
  <c r="D8" i="31"/>
  <c r="M82" i="30"/>
  <c r="E82" i="31" s="1"/>
  <c r="C32" i="31"/>
  <c r="D9" i="31"/>
  <c r="C126" i="31"/>
  <c r="B117" i="31"/>
  <c r="A108" i="31"/>
  <c r="C98" i="31"/>
  <c r="B60" i="31"/>
  <c r="C25" i="31"/>
  <c r="D116" i="31"/>
  <c r="A125" i="31"/>
  <c r="O109" i="30"/>
  <c r="G109" i="31" s="1"/>
  <c r="O110" i="30"/>
  <c r="G110" i="31" s="1"/>
  <c r="O111" i="30"/>
  <c r="G111" i="31" s="1"/>
  <c r="F106" i="31"/>
  <c r="F72" i="31"/>
  <c r="A58" i="31"/>
  <c r="B41" i="31"/>
  <c r="O22" i="30"/>
  <c r="G22" i="31" s="1"/>
  <c r="N115" i="30"/>
  <c r="F115" i="31" s="1"/>
  <c r="E106" i="31"/>
  <c r="C86" i="31"/>
  <c r="B72" i="31"/>
  <c r="O57" i="30"/>
  <c r="G57" i="31" s="1"/>
  <c r="A41" i="31"/>
  <c r="A105" i="31"/>
  <c r="B120" i="31"/>
  <c r="A111" i="31"/>
  <c r="C91" i="31"/>
  <c r="O64" i="30"/>
  <c r="G64" i="31" s="1"/>
  <c r="A50" i="31"/>
  <c r="D13" i="31"/>
  <c r="O80" i="30"/>
  <c r="G80" i="31" s="1"/>
  <c r="E116" i="31"/>
  <c r="C87" i="31"/>
  <c r="G73" i="31"/>
  <c r="B59" i="31"/>
  <c r="B24" i="31"/>
  <c r="A9" i="31"/>
  <c r="O42" i="30"/>
  <c r="G42" i="31" s="1"/>
  <c r="O44" i="30"/>
  <c r="G44" i="31" s="1"/>
  <c r="O47" i="30"/>
  <c r="G47" i="31" s="1"/>
  <c r="F40" i="31"/>
  <c r="C13" i="31"/>
  <c r="A84" i="31"/>
  <c r="O74" i="30"/>
  <c r="G74" i="31" s="1"/>
  <c r="C38" i="31"/>
  <c r="B29" i="31"/>
  <c r="A20" i="31"/>
  <c r="C79" i="31"/>
  <c r="B70" i="31"/>
  <c r="A61" i="31"/>
  <c r="G51" i="31"/>
  <c r="B6" i="31"/>
  <c r="A94" i="31"/>
  <c r="G84" i="31"/>
  <c r="C48" i="31"/>
  <c r="B39" i="31"/>
  <c r="A30" i="31"/>
  <c r="O20" i="30"/>
  <c r="G20" i="31" s="1"/>
  <c r="B125" i="31"/>
  <c r="A116" i="31"/>
  <c r="G106" i="31"/>
  <c r="A97" i="31"/>
  <c r="G72" i="31"/>
  <c r="B58" i="31"/>
  <c r="C41" i="31"/>
  <c r="A23" i="31"/>
  <c r="C107" i="31"/>
  <c r="E105" i="31"/>
  <c r="E95" i="31"/>
  <c r="A85" i="31"/>
  <c r="A56" i="31"/>
  <c r="O30" i="30"/>
  <c r="O31" i="30"/>
  <c r="G31" i="31" s="1"/>
  <c r="O34" i="30"/>
  <c r="G34" i="31" s="1"/>
  <c r="B106" i="31"/>
  <c r="D105" i="31"/>
  <c r="D95" i="31"/>
  <c r="F84" i="31"/>
  <c r="O55" i="30"/>
  <c r="G55" i="31" s="1"/>
  <c r="N38" i="30"/>
  <c r="F38" i="31" s="1"/>
  <c r="A119" i="31"/>
  <c r="A90" i="31"/>
  <c r="G62" i="31"/>
  <c r="D29" i="31"/>
  <c r="B11" i="31"/>
  <c r="B68" i="31"/>
  <c r="L115" i="30"/>
  <c r="D115" i="31" s="1"/>
  <c r="C106" i="31"/>
  <c r="B57" i="31"/>
  <c r="B40" i="31"/>
  <c r="O21" i="30"/>
  <c r="G21" i="31" s="1"/>
  <c r="E39" i="31"/>
  <c r="C21" i="31"/>
  <c r="B12" i="31"/>
  <c r="O75" i="30"/>
  <c r="G75" i="31" s="1"/>
  <c r="O77" i="30"/>
  <c r="G77" i="31" s="1"/>
  <c r="O78" i="30"/>
  <c r="G78" i="31" s="1"/>
  <c r="O79" i="30"/>
  <c r="G79" i="31" s="1"/>
  <c r="O81" i="30"/>
  <c r="G81" i="31" s="1"/>
  <c r="F73" i="31"/>
  <c r="C46" i="31"/>
  <c r="B37" i="31"/>
  <c r="A28" i="31"/>
  <c r="G18" i="31"/>
  <c r="B78" i="31"/>
  <c r="A69" i="31"/>
  <c r="O59" i="30"/>
  <c r="G59" i="31" s="1"/>
  <c r="F50" i="31"/>
  <c r="C23" i="31"/>
  <c r="B14" i="31"/>
  <c r="A102" i="31"/>
  <c r="F83" i="31"/>
  <c r="C56" i="31"/>
  <c r="B47" i="31"/>
  <c r="A38" i="31"/>
  <c r="G28" i="31"/>
  <c r="M104" i="30"/>
  <c r="E104" i="31" s="1"/>
  <c r="D94" i="31"/>
  <c r="E83" i="31"/>
  <c r="C69" i="31"/>
  <c r="D18" i="31"/>
  <c r="A87" i="31"/>
  <c r="C103" i="31"/>
  <c r="A93" i="31"/>
  <c r="B67" i="31"/>
  <c r="C34" i="31"/>
  <c r="A16" i="31"/>
  <c r="C92" i="31"/>
  <c r="C112" i="31"/>
  <c r="B103" i="31"/>
  <c r="C81" i="31"/>
  <c r="A67" i="31"/>
  <c r="C52" i="31"/>
  <c r="B34" i="31"/>
  <c r="L82" i="30"/>
  <c r="D82" i="31" s="1"/>
  <c r="F116" i="31"/>
  <c r="A74" i="31"/>
  <c r="C59" i="31"/>
  <c r="B43" i="31"/>
  <c r="O24" i="30"/>
  <c r="G24" i="31" s="1"/>
  <c r="D51" i="31"/>
  <c r="C122" i="31"/>
  <c r="B113" i="31"/>
  <c r="A104" i="31"/>
  <c r="N93" i="30"/>
  <c r="F93" i="31" s="1"/>
  <c r="A83" i="31"/>
  <c r="C68" i="31"/>
  <c r="C17" i="31"/>
  <c r="A10" i="31"/>
  <c r="C37" i="31"/>
  <c r="B28" i="31"/>
  <c r="A19" i="31"/>
  <c r="L71" i="30"/>
  <c r="D71" i="31" s="1"/>
  <c r="C62" i="31"/>
  <c r="B53" i="31"/>
  <c r="A44" i="31"/>
  <c r="E16" i="31"/>
  <c r="D7" i="31"/>
  <c r="C39" i="31"/>
  <c r="B30" i="31"/>
  <c r="A21" i="31"/>
  <c r="C72" i="31"/>
  <c r="B63" i="31"/>
  <c r="A54" i="31"/>
  <c r="D17" i="31"/>
  <c r="C8" i="31"/>
  <c r="C42" i="31"/>
  <c r="B93" i="31"/>
  <c r="A82" i="31"/>
  <c r="C67" i="31"/>
  <c r="B16" i="31"/>
  <c r="N71" i="30"/>
  <c r="F71" i="31" s="1"/>
  <c r="C111" i="31"/>
  <c r="B102" i="31"/>
  <c r="B65" i="31"/>
  <c r="C50" i="31"/>
  <c r="A32" i="31"/>
  <c r="C120" i="31"/>
  <c r="B111" i="31"/>
  <c r="A65" i="31"/>
  <c r="B50" i="31"/>
  <c r="C73" i="31"/>
  <c r="M115" i="30"/>
  <c r="E115" i="31" s="1"/>
  <c r="D106" i="31"/>
  <c r="B86" i="31"/>
  <c r="A72" i="31"/>
  <c r="C57" i="31"/>
  <c r="G40" i="31"/>
  <c r="A40" i="31"/>
  <c r="B121" i="31"/>
  <c r="A112" i="31"/>
  <c r="A81" i="31"/>
  <c r="C66" i="31"/>
  <c r="E51" i="31"/>
  <c r="C33" i="31"/>
  <c r="A15" i="31"/>
  <c r="C45" i="31"/>
  <c r="B36" i="31"/>
  <c r="A27" i="31"/>
  <c r="G17" i="31"/>
  <c r="C70" i="31"/>
  <c r="B61" i="31"/>
  <c r="A52" i="31"/>
  <c r="D15" i="31"/>
  <c r="C6" i="31"/>
  <c r="C47" i="31"/>
  <c r="B38" i="31"/>
  <c r="A29" i="31"/>
  <c r="O19" i="30"/>
  <c r="G19" i="31" s="1"/>
  <c r="C80" i="31"/>
  <c r="B71" i="31"/>
  <c r="A62" i="31"/>
  <c r="O52" i="30"/>
  <c r="G52" i="31" s="1"/>
  <c r="C16" i="31"/>
  <c r="B7" i="31"/>
  <c r="B33" i="31"/>
  <c r="C102" i="31"/>
  <c r="A80" i="31"/>
  <c r="C65" i="31"/>
  <c r="D50" i="31"/>
  <c r="B32" i="31"/>
  <c r="B49" i="31"/>
  <c r="C119" i="31"/>
  <c r="B110" i="31"/>
  <c r="C90" i="31"/>
  <c r="A48" i="31"/>
  <c r="F29" i="31"/>
  <c r="D11" i="31"/>
  <c r="A55" i="31"/>
  <c r="B119" i="31"/>
  <c r="A110" i="31"/>
  <c r="B90" i="31"/>
  <c r="A63" i="31"/>
  <c r="E29" i="31"/>
  <c r="C11" i="31"/>
  <c r="B64" i="31"/>
  <c r="C105" i="31"/>
  <c r="C95" i="31"/>
  <c r="E84" i="31"/>
  <c r="M38" i="30"/>
  <c r="E38" i="31" s="1"/>
  <c r="C20" i="31"/>
  <c r="E28" i="31"/>
  <c r="A120" i="31"/>
  <c r="B91" i="31"/>
  <c r="A79" i="31"/>
  <c r="C49" i="31"/>
  <c r="A31" i="31"/>
  <c r="B44" i="31"/>
  <c r="A35" i="31"/>
  <c r="O25" i="30"/>
  <c r="G25" i="31" s="1"/>
  <c r="F16" i="31"/>
  <c r="C78" i="31"/>
  <c r="B69" i="31"/>
  <c r="A60" i="31"/>
  <c r="G50" i="31"/>
  <c r="C14" i="31"/>
  <c r="N82" i="30"/>
  <c r="F82" i="31" s="1"/>
  <c r="E73" i="31"/>
  <c r="C55" i="31"/>
  <c r="B46" i="31"/>
  <c r="A37" i="31"/>
  <c r="F18" i="31"/>
  <c r="C88" i="31"/>
  <c r="B79" i="31"/>
  <c r="A70" i="31"/>
  <c r="F51" i="31"/>
  <c r="C24" i="31"/>
  <c r="B15" i="31"/>
  <c r="A6" i="31"/>
  <c r="A32" i="30"/>
  <c r="E17" i="30"/>
  <c r="G33" i="30"/>
  <c r="A16" i="30"/>
  <c r="B13" i="30"/>
  <c r="B124" i="30"/>
  <c r="B115" i="30"/>
  <c r="G45" i="30"/>
  <c r="A33" i="30"/>
  <c r="G32" i="30"/>
  <c r="B79" i="30"/>
  <c r="A84" i="30"/>
  <c r="A102" i="30"/>
  <c r="G17" i="30"/>
  <c r="A61" i="30"/>
  <c r="A6" i="30"/>
  <c r="B92" i="30"/>
  <c r="A7" i="30"/>
  <c r="A57" i="30"/>
  <c r="B67" i="30"/>
  <c r="D71" i="30"/>
  <c r="G18" i="30"/>
  <c r="A103" i="30"/>
  <c r="B122" i="30"/>
  <c r="A14" i="30"/>
  <c r="E60" i="30"/>
  <c r="G16" i="30"/>
  <c r="B113" i="30"/>
  <c r="B119" i="30"/>
  <c r="G49" i="30"/>
  <c r="B121" i="30"/>
  <c r="G43" i="30"/>
  <c r="F50" i="30"/>
  <c r="C72" i="30"/>
  <c r="G85" i="30"/>
  <c r="B100" i="30"/>
  <c r="A17" i="30"/>
  <c r="B96" i="30"/>
  <c r="D18" i="30"/>
  <c r="D106" i="30"/>
  <c r="G89" i="30"/>
  <c r="C84" i="30"/>
  <c r="F15" i="30"/>
  <c r="A38" i="30"/>
  <c r="A109" i="30"/>
  <c r="G53" i="30"/>
  <c r="G120" i="30"/>
  <c r="B108" i="30"/>
  <c r="A9" i="30"/>
  <c r="C16" i="30"/>
  <c r="B65" i="30"/>
  <c r="G95" i="30"/>
  <c r="B71" i="30"/>
  <c r="A48" i="30"/>
  <c r="G7" i="30"/>
  <c r="B63" i="30"/>
  <c r="E39" i="30"/>
  <c r="A24" i="30"/>
  <c r="A87" i="30"/>
  <c r="E27" i="30"/>
  <c r="A78" i="30"/>
  <c r="G59" i="30"/>
  <c r="G81" i="30"/>
  <c r="F106" i="30"/>
  <c r="G114" i="30"/>
  <c r="E49" i="30"/>
  <c r="C51" i="30"/>
  <c r="A12" i="30"/>
  <c r="A50" i="30"/>
  <c r="A98" i="30"/>
  <c r="B125" i="30"/>
  <c r="B33" i="30"/>
  <c r="A59" i="30"/>
  <c r="G23" i="30"/>
  <c r="A107" i="30"/>
  <c r="E50" i="30"/>
  <c r="D95" i="30"/>
  <c r="D7" i="30"/>
  <c r="C115" i="30"/>
  <c r="F17" i="30"/>
  <c r="B52" i="30"/>
  <c r="E106" i="30"/>
  <c r="B57" i="30"/>
  <c r="B89" i="30"/>
  <c r="A89" i="30"/>
  <c r="D49" i="30"/>
  <c r="C71" i="30"/>
  <c r="A125" i="30"/>
  <c r="C18" i="30"/>
  <c r="A120" i="30"/>
  <c r="A46" i="30"/>
  <c r="G68" i="30"/>
  <c r="A10" i="30"/>
  <c r="A51" i="30"/>
  <c r="B107" i="30"/>
  <c r="G116" i="30"/>
  <c r="G86" i="30"/>
  <c r="A54" i="30"/>
  <c r="C17" i="30"/>
  <c r="B47" i="30"/>
  <c r="F105" i="30"/>
  <c r="F117" i="30"/>
  <c r="G75" i="30"/>
  <c r="B94" i="30"/>
  <c r="F16" i="30"/>
  <c r="G42" i="30"/>
  <c r="G56" i="30"/>
  <c r="D104" i="30"/>
  <c r="A96" i="30"/>
  <c r="C82" i="30"/>
  <c r="G66" i="30"/>
  <c r="D10" i="30"/>
  <c r="A66" i="30"/>
  <c r="G70" i="30"/>
  <c r="B55" i="30"/>
  <c r="G90" i="30"/>
  <c r="A42" i="30"/>
  <c r="G58" i="30"/>
  <c r="G122" i="30"/>
  <c r="A53" i="30"/>
  <c r="G30" i="30"/>
  <c r="F39" i="30"/>
  <c r="D115" i="30"/>
  <c r="A104" i="30"/>
  <c r="A76" i="30"/>
  <c r="G31" i="30"/>
  <c r="C13" i="30"/>
  <c r="B26" i="30"/>
  <c r="B85" i="30"/>
  <c r="G62" i="30"/>
  <c r="G121" i="30"/>
  <c r="G87" i="30"/>
  <c r="E18" i="30"/>
  <c r="D27" i="30"/>
  <c r="D12" i="30"/>
  <c r="G44" i="30"/>
  <c r="G46" i="30"/>
  <c r="A86" i="30"/>
  <c r="B7" i="30"/>
  <c r="G28" i="30"/>
  <c r="A112" i="30"/>
  <c r="D39" i="30"/>
  <c r="G119" i="30"/>
  <c r="D83" i="30"/>
  <c r="F11" i="30"/>
  <c r="B102" i="30"/>
  <c r="E13" i="30"/>
  <c r="A21" i="30"/>
  <c r="D15" i="30"/>
  <c r="A123" i="30"/>
  <c r="A8" i="30"/>
  <c r="A97" i="30"/>
  <c r="G34" i="30"/>
  <c r="G83" i="30"/>
  <c r="G26" i="30"/>
  <c r="D60" i="30"/>
  <c r="E9" i="30"/>
  <c r="E61" i="30"/>
  <c r="G11" i="30"/>
  <c r="E71" i="30"/>
  <c r="A115" i="30"/>
  <c r="B29" i="30"/>
  <c r="A19" i="30"/>
  <c r="A45" i="30"/>
  <c r="B58" i="30"/>
  <c r="G77" i="30"/>
  <c r="B90" i="30"/>
  <c r="C62" i="30"/>
  <c r="F95" i="30"/>
  <c r="A75" i="30"/>
  <c r="G10" i="30"/>
  <c r="F60" i="30"/>
  <c r="B51" i="30"/>
  <c r="A22" i="30"/>
  <c r="B112" i="30"/>
  <c r="A74" i="30"/>
  <c r="D105" i="30"/>
  <c r="G91" i="30"/>
  <c r="G109" i="30"/>
  <c r="G78" i="30"/>
  <c r="B14" i="30"/>
  <c r="A121" i="30"/>
  <c r="A60" i="30"/>
  <c r="B24" i="30"/>
  <c r="B84" i="30"/>
  <c r="G37" i="30"/>
  <c r="B36" i="30"/>
  <c r="F49" i="30"/>
  <c r="B53" i="30"/>
  <c r="G73" i="30"/>
  <c r="G79" i="30"/>
  <c r="A88" i="30"/>
  <c r="E72" i="30"/>
  <c r="A110" i="30"/>
  <c r="B72" i="30"/>
  <c r="B37" i="30"/>
  <c r="C117" i="30"/>
  <c r="G14" i="30"/>
  <c r="G64" i="30"/>
  <c r="G108" i="30"/>
  <c r="C105" i="30"/>
  <c r="B70" i="30"/>
  <c r="G36" i="30"/>
  <c r="B86" i="30"/>
  <c r="B82" i="30"/>
  <c r="A119" i="30"/>
  <c r="F82" i="30"/>
  <c r="B43" i="30"/>
  <c r="B18" i="30"/>
  <c r="A113" i="30"/>
  <c r="C29" i="30"/>
  <c r="A65" i="30"/>
  <c r="G60" i="30"/>
  <c r="G57" i="30"/>
  <c r="B80" i="30"/>
  <c r="A30" i="30"/>
  <c r="A26" i="30"/>
  <c r="E10" i="30"/>
  <c r="B12" i="30"/>
  <c r="G97" i="30"/>
  <c r="G72" i="30"/>
  <c r="G103" i="30"/>
  <c r="A108" i="30"/>
  <c r="F18" i="30"/>
  <c r="A94" i="30"/>
  <c r="A90" i="30"/>
  <c r="E29" i="30"/>
  <c r="A55" i="30"/>
  <c r="B105" i="30"/>
  <c r="A91" i="30"/>
  <c r="B75" i="30"/>
  <c r="B16" i="30"/>
  <c r="G101" i="30"/>
  <c r="G51" i="30"/>
  <c r="G47" i="30"/>
  <c r="B109" i="30"/>
  <c r="B54" i="30"/>
  <c r="B44" i="30"/>
  <c r="F7" i="30"/>
  <c r="G48" i="30"/>
  <c r="C8" i="30"/>
  <c r="E84" i="30"/>
  <c r="A81" i="30"/>
  <c r="G76" i="30"/>
  <c r="D16" i="30"/>
  <c r="A106" i="30"/>
  <c r="G88" i="30"/>
  <c r="G13" i="30"/>
  <c r="G29" i="30"/>
  <c r="D72" i="30"/>
  <c r="G61" i="30"/>
  <c r="B22" i="30"/>
  <c r="F72" i="30"/>
  <c r="F94" i="30"/>
  <c r="E83" i="30"/>
  <c r="C94" i="30"/>
  <c r="E7" i="30"/>
  <c r="E94" i="30"/>
  <c r="B56" i="30"/>
  <c r="G104" i="30"/>
  <c r="F8" i="30"/>
  <c r="A73" i="30"/>
  <c r="E40" i="30"/>
  <c r="E115" i="30"/>
  <c r="G52" i="30"/>
  <c r="A52" i="30"/>
  <c r="B123" i="30"/>
  <c r="B110" i="30"/>
  <c r="D73" i="30"/>
  <c r="G113" i="30"/>
  <c r="G124" i="30"/>
  <c r="B104" i="30"/>
  <c r="C38" i="30"/>
  <c r="F83" i="30"/>
  <c r="A100" i="30"/>
  <c r="F12" i="30"/>
  <c r="D117" i="30"/>
  <c r="G117" i="30"/>
  <c r="D82" i="30"/>
  <c r="A43" i="30"/>
  <c r="A18" i="30"/>
  <c r="G54" i="30"/>
  <c r="A105" i="30"/>
  <c r="G112" i="30"/>
  <c r="G19" i="30"/>
  <c r="D51" i="30"/>
  <c r="B87" i="30"/>
  <c r="F51" i="30"/>
  <c r="B117" i="30"/>
  <c r="B73" i="30"/>
  <c r="B41" i="30"/>
  <c r="D38" i="30"/>
  <c r="B74" i="30"/>
  <c r="B49" i="30"/>
  <c r="E105" i="30"/>
  <c r="A31" i="30"/>
  <c r="E51" i="30"/>
  <c r="B38" i="30"/>
  <c r="C49" i="30"/>
  <c r="G25" i="30"/>
  <c r="C7" i="30"/>
  <c r="F29" i="30"/>
  <c r="A124" i="30"/>
  <c r="D6" i="30"/>
  <c r="C50" i="30"/>
  <c r="D14" i="30"/>
  <c r="C12" i="30"/>
  <c r="A68" i="30"/>
  <c r="F126" i="30"/>
  <c r="B31" i="30"/>
  <c r="B42" i="30"/>
  <c r="B77" i="30"/>
  <c r="G102" i="30"/>
  <c r="A122" i="30"/>
  <c r="B61" i="30"/>
  <c r="G106" i="30"/>
  <c r="F14" i="30"/>
  <c r="B81" i="30"/>
  <c r="E82" i="30"/>
  <c r="B10" i="30"/>
  <c r="A93" i="30"/>
  <c r="B93" i="30"/>
  <c r="E8" i="30"/>
  <c r="B76" i="30"/>
  <c r="F104" i="30"/>
  <c r="B40" i="30"/>
  <c r="A114" i="30"/>
  <c r="B69" i="30"/>
  <c r="A92" i="30"/>
  <c r="G93" i="30"/>
  <c r="A72" i="30"/>
  <c r="A47" i="30"/>
  <c r="A62" i="30"/>
  <c r="B8" i="30"/>
  <c r="D84" i="30"/>
  <c r="F61" i="30"/>
  <c r="B20" i="30"/>
  <c r="G80" i="30"/>
  <c r="D94" i="30"/>
  <c r="F62" i="30"/>
  <c r="C27" i="30"/>
  <c r="G111" i="30"/>
  <c r="A83" i="30"/>
  <c r="B103" i="30"/>
  <c r="B78" i="30"/>
  <c r="C28" i="30"/>
  <c r="A63" i="30"/>
  <c r="B60" i="30"/>
  <c r="D93" i="30"/>
  <c r="B126" i="30"/>
  <c r="A20" i="30"/>
  <c r="F13" i="30"/>
  <c r="E16" i="30"/>
  <c r="G69" i="30"/>
  <c r="G105" i="30"/>
  <c r="A77" i="30"/>
  <c r="C14" i="30"/>
  <c r="A36" i="30"/>
  <c r="C11" i="30"/>
  <c r="B46" i="30"/>
  <c r="C60" i="30"/>
  <c r="F73" i="30"/>
  <c r="D126" i="30"/>
  <c r="E117" i="30"/>
  <c r="C39" i="30"/>
  <c r="B97" i="30"/>
  <c r="D13" i="30"/>
  <c r="F40" i="30"/>
  <c r="G67" i="30"/>
  <c r="B95" i="30"/>
  <c r="B11" i="30"/>
  <c r="G38" i="30"/>
  <c r="B66" i="30"/>
  <c r="F116" i="30"/>
  <c r="B17" i="30"/>
  <c r="F71" i="30"/>
  <c r="A99" i="30"/>
  <c r="C15" i="30"/>
  <c r="A118" i="30"/>
  <c r="B59" i="30"/>
  <c r="A79" i="30"/>
  <c r="A41" i="30"/>
  <c r="B68" i="30"/>
  <c r="C95" i="30"/>
  <c r="D11" i="30"/>
  <c r="A39" i="30"/>
  <c r="E93" i="30"/>
  <c r="C9" i="30"/>
  <c r="C10" i="30"/>
  <c r="B25" i="30"/>
  <c r="G107" i="30"/>
  <c r="A25" i="30"/>
  <c r="C106" i="30"/>
  <c r="B23" i="30"/>
  <c r="D50" i="30"/>
  <c r="G126" i="30"/>
  <c r="F27" i="30"/>
  <c r="A101" i="30"/>
  <c r="D17" i="30"/>
  <c r="G71" i="30"/>
  <c r="B99" i="30"/>
  <c r="E15" i="30"/>
  <c r="A70" i="30"/>
  <c r="B88" i="30"/>
  <c r="E104" i="30"/>
  <c r="E95" i="30"/>
  <c r="E11" i="30"/>
  <c r="B39" i="30"/>
  <c r="F93" i="30"/>
  <c r="D9" i="30"/>
  <c r="B28" i="30"/>
  <c r="A80" i="30"/>
  <c r="G74" i="30"/>
  <c r="G98" i="30"/>
  <c r="D29" i="30"/>
  <c r="B116" i="30"/>
  <c r="G50" i="30"/>
  <c r="B45" i="30"/>
  <c r="C116" i="30"/>
  <c r="F9" i="30"/>
  <c r="G82" i="30"/>
  <c r="G99" i="30"/>
  <c r="A126" i="30"/>
  <c r="B106" i="30"/>
  <c r="B30" i="30"/>
  <c r="F84" i="30"/>
  <c r="G110" i="30"/>
  <c r="D28" i="30"/>
  <c r="G125" i="30"/>
  <c r="F115" i="30"/>
  <c r="A34" i="30"/>
  <c r="C61" i="30"/>
  <c r="B114" i="30"/>
  <c r="B32" i="30"/>
  <c r="A49" i="30"/>
  <c r="G100" i="30"/>
  <c r="G84" i="30"/>
  <c r="A111" i="30"/>
  <c r="E28" i="30"/>
  <c r="G55" i="30"/>
  <c r="B83" i="30"/>
  <c r="G35" i="30"/>
  <c r="A67" i="30"/>
  <c r="A71" i="30"/>
  <c r="B98" i="30"/>
  <c r="E14" i="30"/>
  <c r="G41" i="30"/>
  <c r="A69" i="30"/>
  <c r="E12" i="30"/>
  <c r="A40" i="30"/>
  <c r="G115" i="30"/>
  <c r="B34" i="30"/>
  <c r="D61" i="30"/>
  <c r="G118" i="30"/>
  <c r="D116" i="30"/>
  <c r="A58" i="30"/>
  <c r="A85" i="30"/>
  <c r="B111" i="30"/>
  <c r="F28" i="30"/>
  <c r="A56" i="30"/>
  <c r="C83" i="30"/>
  <c r="A27" i="30"/>
  <c r="A117" i="30"/>
  <c r="A44" i="30"/>
  <c r="A29" i="30"/>
  <c r="E62" i="30"/>
  <c r="A116" i="30"/>
  <c r="G40" i="30"/>
  <c r="C73" i="30"/>
  <c r="A82" i="30"/>
  <c r="B118" i="30"/>
  <c r="F6" i="30"/>
  <c r="A15" i="30"/>
  <c r="A28" i="30"/>
  <c r="B101" i="30"/>
  <c r="G39" i="30"/>
  <c r="E73" i="30"/>
  <c r="G24" i="30"/>
  <c r="A23" i="30"/>
  <c r="G65" i="30"/>
  <c r="G92" i="30"/>
  <c r="D8" i="30"/>
  <c r="G63" i="30"/>
  <c r="B91" i="30"/>
  <c r="B6" i="30"/>
  <c r="E38" i="30"/>
  <c r="G12" i="30"/>
  <c r="C40" i="30"/>
  <c r="G94" i="30"/>
  <c r="F10" i="30"/>
  <c r="C126" i="30"/>
  <c r="E126" i="30"/>
  <c r="C93" i="30"/>
  <c r="G8" i="30"/>
  <c r="A64" i="30"/>
  <c r="E6" i="30"/>
  <c r="A35" i="30"/>
  <c r="B62" i="30"/>
  <c r="E116" i="30"/>
  <c r="B120" i="30"/>
  <c r="B50" i="30"/>
  <c r="C104" i="30"/>
  <c r="G20" i="30"/>
  <c r="B48" i="30"/>
  <c r="B19" i="30"/>
  <c r="G123" i="30"/>
  <c r="G96" i="30"/>
  <c r="A13" i="30"/>
  <c r="D40" i="30"/>
  <c r="A95" i="30"/>
  <c r="A11" i="30"/>
  <c r="F38" i="30"/>
  <c r="G22" i="30"/>
  <c r="A37" i="30"/>
  <c r="B64" i="30"/>
  <c r="G6" i="30"/>
  <c r="B35" i="30"/>
  <c r="D62" i="30"/>
  <c r="C6" i="30"/>
  <c r="B51" i="29"/>
  <c r="F52" i="29" s="1"/>
  <c r="B21" i="19"/>
  <c r="G21" i="19" s="1"/>
  <c r="G27" i="19" s="1"/>
  <c r="E8" i="28"/>
  <c r="G96" i="34" l="1"/>
  <c r="O104" i="33"/>
  <c r="G104" i="34" s="1"/>
  <c r="G53" i="34"/>
  <c r="O60" i="33"/>
  <c r="G60" i="34" s="1"/>
  <c r="O12" i="30"/>
  <c r="G12" i="31" s="1"/>
  <c r="O8" i="30"/>
  <c r="G8" i="31" s="1"/>
  <c r="O7" i="30"/>
  <c r="G7" i="31" s="1"/>
  <c r="F8" i="31"/>
  <c r="O11" i="30"/>
  <c r="G11" i="31" s="1"/>
  <c r="O13" i="30"/>
  <c r="G13" i="31" s="1"/>
  <c r="M15" i="30"/>
  <c r="E15" i="31" s="1"/>
  <c r="O10" i="30"/>
  <c r="G10" i="31" s="1"/>
  <c r="O9" i="30"/>
  <c r="G9" i="31" s="1"/>
  <c r="O14" i="30"/>
  <c r="G14" i="31" s="1"/>
  <c r="O104" i="30"/>
  <c r="G104" i="31" s="1"/>
  <c r="N15" i="30"/>
  <c r="F15" i="31" s="1"/>
  <c r="F8" i="34"/>
  <c r="O8" i="33"/>
  <c r="G8" i="34" s="1"/>
  <c r="E12" i="31"/>
  <c r="B9" i="19"/>
  <c r="G9" i="19" s="1"/>
  <c r="G15" i="19" s="1"/>
  <c r="O126" i="30"/>
  <c r="G126" i="31" s="1"/>
  <c r="O38" i="30"/>
  <c r="G38" i="31" s="1"/>
  <c r="O82" i="30"/>
  <c r="G82" i="31" s="1"/>
  <c r="G20" i="34"/>
  <c r="O27" i="33"/>
  <c r="G27" i="34" s="1"/>
  <c r="O7" i="33"/>
  <c r="G7" i="34" s="1"/>
  <c r="F7" i="34"/>
  <c r="O115" i="30"/>
  <c r="G115" i="31" s="1"/>
  <c r="F10" i="34"/>
  <c r="O10" i="33"/>
  <c r="G10" i="34" s="1"/>
  <c r="O60" i="30"/>
  <c r="G60" i="31" s="1"/>
  <c r="G85" i="34"/>
  <c r="O93" i="33"/>
  <c r="G93" i="34" s="1"/>
  <c r="O71" i="30"/>
  <c r="G71" i="31" s="1"/>
  <c r="G33" i="34"/>
  <c r="G38" i="34"/>
  <c r="E9" i="28"/>
  <c r="O93" i="30"/>
  <c r="G93" i="31" s="1"/>
  <c r="O27" i="30"/>
  <c r="G27" i="31" s="1"/>
  <c r="O49" i="30"/>
  <c r="G49" i="31" s="1"/>
  <c r="F13" i="34"/>
  <c r="O13" i="33"/>
  <c r="N15" i="33"/>
  <c r="O15" i="32"/>
  <c r="G15" i="33" s="1"/>
  <c r="G7" i="33"/>
  <c r="F10" i="31"/>
  <c r="G119" i="31"/>
  <c r="B27" i="19"/>
  <c r="O2" i="30"/>
  <c r="G30" i="31"/>
  <c r="O2" i="32"/>
  <c r="E15" i="33"/>
  <c r="M21" i="19"/>
  <c r="G47" i="34"/>
  <c r="O49" i="33"/>
  <c r="G49" i="34" s="1"/>
  <c r="E10" i="28"/>
  <c r="O15" i="30" l="1"/>
  <c r="G15" i="31" s="1"/>
  <c r="B15" i="19"/>
  <c r="E11" i="28"/>
  <c r="G13" i="34"/>
  <c r="O15" i="33"/>
  <c r="G15" i="34" s="1"/>
  <c r="M9" i="19"/>
  <c r="B21" i="30"/>
  <c r="R21" i="19"/>
  <c r="E43" i="8"/>
  <c r="M27" i="19"/>
  <c r="F15" i="34"/>
  <c r="O2" i="33"/>
  <c r="E21" i="8" l="1"/>
  <c r="C21" i="8" s="1"/>
  <c r="E26" i="8"/>
  <c r="C26" i="8" s="1"/>
  <c r="E23" i="8"/>
  <c r="C23" i="8" s="1"/>
  <c r="B27" i="30"/>
  <c r="E25" i="8"/>
  <c r="C25" i="8" s="1"/>
  <c r="E29" i="8"/>
  <c r="C29" i="8" s="1"/>
  <c r="E20" i="8"/>
  <c r="E22" i="8"/>
  <c r="C22" i="8" s="1"/>
  <c r="E24" i="8"/>
  <c r="C24" i="8" s="1"/>
  <c r="E27" i="8"/>
  <c r="C27" i="8" s="1"/>
  <c r="E28" i="8"/>
  <c r="C28" i="8" s="1"/>
  <c r="B9" i="30"/>
  <c r="R9" i="19"/>
  <c r="M15" i="19"/>
  <c r="B15" i="30" s="1"/>
  <c r="C43" i="8"/>
  <c r="E50" i="8"/>
  <c r="R27" i="19"/>
  <c r="G27" i="30" s="1"/>
  <c r="G21" i="30"/>
  <c r="E30" i="8" l="1"/>
  <c r="C20" i="8"/>
  <c r="C30" i="8" s="1"/>
  <c r="R15" i="19"/>
  <c r="G15" i="30" s="1"/>
  <c r="G9" i="30"/>
</calcChain>
</file>

<file path=xl/sharedStrings.xml><?xml version="1.0" encoding="utf-8"?>
<sst xmlns="http://schemas.openxmlformats.org/spreadsheetml/2006/main" count="1095" uniqueCount="513">
  <si>
    <t>Co Director</t>
  </si>
  <si>
    <t>Amount Paid</t>
  </si>
  <si>
    <t>Currency Paid</t>
  </si>
  <si>
    <t>Paid To</t>
  </si>
  <si>
    <t>Report Date</t>
  </si>
  <si>
    <t>Yes</t>
  </si>
  <si>
    <t>No</t>
  </si>
  <si>
    <t>EUR</t>
  </si>
  <si>
    <t>USD</t>
  </si>
  <si>
    <t>CAD</t>
  </si>
  <si>
    <t>AED</t>
  </si>
  <si>
    <t>United Arab Emirates dirham</t>
  </si>
  <si>
    <t>AFN</t>
  </si>
  <si>
    <t>Afghan afghani</t>
  </si>
  <si>
    <t>ALL</t>
  </si>
  <si>
    <t>Albanian lek</t>
  </si>
  <si>
    <t>AMD</t>
  </si>
  <si>
    <t>Armenian dram</t>
  </si>
  <si>
    <t>AOA</t>
  </si>
  <si>
    <t>Angolan kwanza</t>
  </si>
  <si>
    <t>ARS</t>
  </si>
  <si>
    <t>Argentine peso</t>
  </si>
  <si>
    <t>AUD</t>
  </si>
  <si>
    <t>Australian dollar</t>
  </si>
  <si>
    <t>AZN</t>
  </si>
  <si>
    <t>Azerbaijani manat</t>
  </si>
  <si>
    <t>BAM</t>
  </si>
  <si>
    <t>Bosnia and Herzegovina convertible mark</t>
  </si>
  <si>
    <t>BDT</t>
  </si>
  <si>
    <t>Bangladeshi taka</t>
  </si>
  <si>
    <t>BGN</t>
  </si>
  <si>
    <t>Bulgarian lev</t>
  </si>
  <si>
    <t>BHD</t>
  </si>
  <si>
    <t>Bahraini dinar</t>
  </si>
  <si>
    <t>BIF</t>
  </si>
  <si>
    <t>Burundian franc</t>
  </si>
  <si>
    <t>BMD</t>
  </si>
  <si>
    <t>Bermudian dollar</t>
  </si>
  <si>
    <t>BND</t>
  </si>
  <si>
    <t>Brunei dollar</t>
  </si>
  <si>
    <t>BOB</t>
  </si>
  <si>
    <t>Boliviano</t>
  </si>
  <si>
    <t>BRL</t>
  </si>
  <si>
    <t>Brazilian real</t>
  </si>
  <si>
    <t>BSD</t>
  </si>
  <si>
    <t>Bahamian dollar</t>
  </si>
  <si>
    <t>BTN</t>
  </si>
  <si>
    <t>Bhutanese ngultrum</t>
  </si>
  <si>
    <t>BWP</t>
  </si>
  <si>
    <t>Botswana pula</t>
  </si>
  <si>
    <t>BYR</t>
  </si>
  <si>
    <t>Belarusian ruble</t>
  </si>
  <si>
    <t>BZD</t>
  </si>
  <si>
    <t>Belize dollar</t>
  </si>
  <si>
    <t>Canadian dollar</t>
  </si>
  <si>
    <t>CDF</t>
  </si>
  <si>
    <t>Congolese franc</t>
  </si>
  <si>
    <t>CHF</t>
  </si>
  <si>
    <t>Swiss franc</t>
  </si>
  <si>
    <t>CLP</t>
  </si>
  <si>
    <t>Chilean peso</t>
  </si>
  <si>
    <t>CNY</t>
  </si>
  <si>
    <t>Chinese yuan</t>
  </si>
  <si>
    <t>COP</t>
  </si>
  <si>
    <t>Colombian peso</t>
  </si>
  <si>
    <t>CRC</t>
  </si>
  <si>
    <t>Costa Rican colon</t>
  </si>
  <si>
    <t>CUC</t>
  </si>
  <si>
    <t>Cuban convertible peso</t>
  </si>
  <si>
    <t>CUP</t>
  </si>
  <si>
    <t>Cuban peso</t>
  </si>
  <si>
    <t>CVE</t>
  </si>
  <si>
    <t>Cape Verde escudo</t>
  </si>
  <si>
    <t>CZK</t>
  </si>
  <si>
    <t>Czech koruna</t>
  </si>
  <si>
    <t>DJF</t>
  </si>
  <si>
    <t>Djiboutian franc</t>
  </si>
  <si>
    <t>DKK</t>
  </si>
  <si>
    <t>Danish krone</t>
  </si>
  <si>
    <t>DOP</t>
  </si>
  <si>
    <t>Dominican peso</t>
  </si>
  <si>
    <t>DZD</t>
  </si>
  <si>
    <t>Algerian dinar</t>
  </si>
  <si>
    <t>EGP</t>
  </si>
  <si>
    <t>Egyptian pound</t>
  </si>
  <si>
    <t>ERN</t>
  </si>
  <si>
    <t>Eritrean nakfa</t>
  </si>
  <si>
    <t>ETB</t>
  </si>
  <si>
    <t>Ethiopian birr</t>
  </si>
  <si>
    <t>Euro</t>
  </si>
  <si>
    <t>FJD</t>
  </si>
  <si>
    <t>Fiji dollar</t>
  </si>
  <si>
    <t>GBP</t>
  </si>
  <si>
    <t>Pound sterling</t>
  </si>
  <si>
    <t>GEL</t>
  </si>
  <si>
    <t>Georgian lari</t>
  </si>
  <si>
    <t>GHS</t>
  </si>
  <si>
    <t>Ghanaian cedi</t>
  </si>
  <si>
    <t>GMD</t>
  </si>
  <si>
    <t>Gambian dalasi</t>
  </si>
  <si>
    <t>GNF</t>
  </si>
  <si>
    <t>Guinean franc</t>
  </si>
  <si>
    <t>GTQ</t>
  </si>
  <si>
    <t>Guatemalan quetzal</t>
  </si>
  <si>
    <t>GYD</t>
  </si>
  <si>
    <t>Guyanese dollar</t>
  </si>
  <si>
    <t>HKD</t>
  </si>
  <si>
    <t>Hong Kong dollar</t>
  </si>
  <si>
    <t>HNL</t>
  </si>
  <si>
    <t>Honduran lempira</t>
  </si>
  <si>
    <t>HRK</t>
  </si>
  <si>
    <t>Croatian kuna</t>
  </si>
  <si>
    <t>HTG</t>
  </si>
  <si>
    <t>Haitian gourde</t>
  </si>
  <si>
    <t>HUF</t>
  </si>
  <si>
    <t>Hungarian forint</t>
  </si>
  <si>
    <t>IDR</t>
  </si>
  <si>
    <t>Indonesian rupiah</t>
  </si>
  <si>
    <t>ILS</t>
  </si>
  <si>
    <t>Israeli new shekel</t>
  </si>
  <si>
    <t>INR</t>
  </si>
  <si>
    <t>Indian rupee</t>
  </si>
  <si>
    <t>IQD</t>
  </si>
  <si>
    <t>Iraqi dinar</t>
  </si>
  <si>
    <t>IRR</t>
  </si>
  <si>
    <t>Iranian rial</t>
  </si>
  <si>
    <t>ISK</t>
  </si>
  <si>
    <t>Icelandic króna</t>
  </si>
  <si>
    <t>JMD</t>
  </si>
  <si>
    <t>Jamaican dollar</t>
  </si>
  <si>
    <t>JOD</t>
  </si>
  <si>
    <t>Jordanian dinar</t>
  </si>
  <si>
    <t>JPY</t>
  </si>
  <si>
    <t>Japanese yen</t>
  </si>
  <si>
    <t>KES</t>
  </si>
  <si>
    <t>Kenyan shilling</t>
  </si>
  <si>
    <t>KGS</t>
  </si>
  <si>
    <t>Kyrgyzstani som</t>
  </si>
  <si>
    <t>KHR</t>
  </si>
  <si>
    <t>Cambodian riel</t>
  </si>
  <si>
    <t>KMF</t>
  </si>
  <si>
    <t>Comoro franc</t>
  </si>
  <si>
    <t>KPW</t>
  </si>
  <si>
    <t>North Korean won</t>
  </si>
  <si>
    <t>KRW</t>
  </si>
  <si>
    <t>South Korean won</t>
  </si>
  <si>
    <t>KWD</t>
  </si>
  <si>
    <t>Kuwaiti dinar</t>
  </si>
  <si>
    <t>KYD</t>
  </si>
  <si>
    <t>Cayman Islands dollar</t>
  </si>
  <si>
    <t>KZT</t>
  </si>
  <si>
    <t>Kazakhstani tenge</t>
  </si>
  <si>
    <t>LAK</t>
  </si>
  <si>
    <t>Lao kip</t>
  </si>
  <si>
    <t>LBP</t>
  </si>
  <si>
    <t>Lebanese pound</t>
  </si>
  <si>
    <t>LKR</t>
  </si>
  <si>
    <t>Sri Lankan rupee</t>
  </si>
  <si>
    <t>LRD</t>
  </si>
  <si>
    <t>Liberian dollar</t>
  </si>
  <si>
    <t>LSL</t>
  </si>
  <si>
    <t>Lesotho loti</t>
  </si>
  <si>
    <t>LTL</t>
  </si>
  <si>
    <t>Lithuanian litas</t>
  </si>
  <si>
    <t>LYD</t>
  </si>
  <si>
    <t>Libyan dinar</t>
  </si>
  <si>
    <t>MAD</t>
  </si>
  <si>
    <t>Moroccan dirham</t>
  </si>
  <si>
    <t>MDL</t>
  </si>
  <si>
    <t>Moldovan leu</t>
  </si>
  <si>
    <t>MGA</t>
  </si>
  <si>
    <t>Malagasy ariary</t>
  </si>
  <si>
    <t>MKD</t>
  </si>
  <si>
    <t>MMK</t>
  </si>
  <si>
    <t>Myanma kyat</t>
  </si>
  <si>
    <t>MNT</t>
  </si>
  <si>
    <t>Mongolian tugrik</t>
  </si>
  <si>
    <t>MOP</t>
  </si>
  <si>
    <t>Macanese pataca</t>
  </si>
  <si>
    <t>MRO</t>
  </si>
  <si>
    <t>Mauritanian ouguiya</t>
  </si>
  <si>
    <t>MUR</t>
  </si>
  <si>
    <t>Mauritian rupee</t>
  </si>
  <si>
    <t>MVR</t>
  </si>
  <si>
    <t>Maldivian rufiyaa</t>
  </si>
  <si>
    <t>MWK</t>
  </si>
  <si>
    <t>Malawian kwacha</t>
  </si>
  <si>
    <t>MXN</t>
  </si>
  <si>
    <t>Mexican peso</t>
  </si>
  <si>
    <t>MYR</t>
  </si>
  <si>
    <t>Malaysian ringgit</t>
  </si>
  <si>
    <t>MZN</t>
  </si>
  <si>
    <t>Mozambican metical</t>
  </si>
  <si>
    <t>NAD</t>
  </si>
  <si>
    <t>Namibian dollar</t>
  </si>
  <si>
    <t>NGN</t>
  </si>
  <si>
    <t>Nigerian naira</t>
  </si>
  <si>
    <t>NIO</t>
  </si>
  <si>
    <t>Nicaraguan córdoba</t>
  </si>
  <si>
    <t>NOK</t>
  </si>
  <si>
    <t>Norwegian krone</t>
  </si>
  <si>
    <t>NPR</t>
  </si>
  <si>
    <t>Nepalese rupee</t>
  </si>
  <si>
    <t>NZD</t>
  </si>
  <si>
    <t>New Zealand dollar</t>
  </si>
  <si>
    <t>OMR</t>
  </si>
  <si>
    <t>Omani rial</t>
  </si>
  <si>
    <t>PAB</t>
  </si>
  <si>
    <t>Panamanian balboa</t>
  </si>
  <si>
    <t>PEN</t>
  </si>
  <si>
    <t>Peruvian nuevo sol</t>
  </si>
  <si>
    <t>PGK</t>
  </si>
  <si>
    <t>Papua New Guinean kina</t>
  </si>
  <si>
    <t>PHP</t>
  </si>
  <si>
    <t>Philippine peso</t>
  </si>
  <si>
    <t>PKR</t>
  </si>
  <si>
    <t>Pakistani rupee</t>
  </si>
  <si>
    <t>PLN</t>
  </si>
  <si>
    <t>Polish złoty</t>
  </si>
  <si>
    <t>PYG</t>
  </si>
  <si>
    <t>Paraguayan guaraní</t>
  </si>
  <si>
    <t>QAR</t>
  </si>
  <si>
    <t>Qatari riyal</t>
  </si>
  <si>
    <t>RON</t>
  </si>
  <si>
    <t>Romanian new leu</t>
  </si>
  <si>
    <t>RSD</t>
  </si>
  <si>
    <t>Serbian dinar</t>
  </si>
  <si>
    <t>RUB</t>
  </si>
  <si>
    <t>Russian ruble</t>
  </si>
  <si>
    <t>RWF</t>
  </si>
  <si>
    <t>Rwandan franc</t>
  </si>
  <si>
    <t>SAR</t>
  </si>
  <si>
    <t>Saudi riyal</t>
  </si>
  <si>
    <t>SBD</t>
  </si>
  <si>
    <t>Solomon Islands dollar</t>
  </si>
  <si>
    <t>SCR</t>
  </si>
  <si>
    <t>Seychelles rupee</t>
  </si>
  <si>
    <t>SDG</t>
  </si>
  <si>
    <t>Sudanese pound</t>
  </si>
  <si>
    <t>SEK</t>
  </si>
  <si>
    <t>SGD</t>
  </si>
  <si>
    <t>Singapore dollar</t>
  </si>
  <si>
    <t>SLL</t>
  </si>
  <si>
    <t>Sierra Leonean leone</t>
  </si>
  <si>
    <t>SOS</t>
  </si>
  <si>
    <t>Somali shilling</t>
  </si>
  <si>
    <t>SRD</t>
  </si>
  <si>
    <t>Surinamese dollar</t>
  </si>
  <si>
    <t>SSP</t>
  </si>
  <si>
    <t>South Sudanese pound</t>
  </si>
  <si>
    <t>STD</t>
  </si>
  <si>
    <t>São Tomé and Príncipe dobra</t>
  </si>
  <si>
    <t>SYP</t>
  </si>
  <si>
    <t>Syrian pound</t>
  </si>
  <si>
    <t>SZL</t>
  </si>
  <si>
    <t>Swazi lilangeni</t>
  </si>
  <si>
    <t>THB</t>
  </si>
  <si>
    <t>Thai baht</t>
  </si>
  <si>
    <t>TJS</t>
  </si>
  <si>
    <t>Tajikistani somoni</t>
  </si>
  <si>
    <t>TMT</t>
  </si>
  <si>
    <t>Turkmenistani manat</t>
  </si>
  <si>
    <t>TND</t>
  </si>
  <si>
    <t>Tunisian dinar</t>
  </si>
  <si>
    <t>TOP</t>
  </si>
  <si>
    <t>Tongan paʻanga</t>
  </si>
  <si>
    <t>TRY</t>
  </si>
  <si>
    <t>Turkish lira</t>
  </si>
  <si>
    <t>TTD</t>
  </si>
  <si>
    <t>Trinidad and Tobago dollar</t>
  </si>
  <si>
    <t>TWD</t>
  </si>
  <si>
    <t>New Taiwan dollar</t>
  </si>
  <si>
    <t>TZS</t>
  </si>
  <si>
    <t>Tanzanian shilling</t>
  </si>
  <si>
    <t>UAH</t>
  </si>
  <si>
    <t>Ukrainian hryvnia</t>
  </si>
  <si>
    <t>UGX</t>
  </si>
  <si>
    <t>Ugandan shilling</t>
  </si>
  <si>
    <t>United States dollar</t>
  </si>
  <si>
    <t>UYU</t>
  </si>
  <si>
    <t>Uruguayan peso</t>
  </si>
  <si>
    <t>UZS</t>
  </si>
  <si>
    <t>Uzbekistan som</t>
  </si>
  <si>
    <t>VEF</t>
  </si>
  <si>
    <t>Venezuelan bolívar</t>
  </si>
  <si>
    <t>VND</t>
  </si>
  <si>
    <t>Vietnamese dong</t>
  </si>
  <si>
    <t>VUV</t>
  </si>
  <si>
    <t>Vanuatu vatu</t>
  </si>
  <si>
    <t>WST</t>
  </si>
  <si>
    <t>Samoan tala</t>
  </si>
  <si>
    <t>XAF</t>
  </si>
  <si>
    <t>CFA franc BEAC</t>
  </si>
  <si>
    <t>YER</t>
  </si>
  <si>
    <t>Yemeni rial</t>
  </si>
  <si>
    <t>ZAR</t>
  </si>
  <si>
    <t>South African rand</t>
  </si>
  <si>
    <t>ZMW</t>
  </si>
  <si>
    <t>Zambian kwacha</t>
  </si>
  <si>
    <t>ZWL</t>
  </si>
  <si>
    <t>Zimbabwe dollar</t>
  </si>
  <si>
    <t>Swedish krona</t>
  </si>
  <si>
    <t>NATO</t>
  </si>
  <si>
    <t>Partner</t>
  </si>
  <si>
    <t>Other</t>
  </si>
  <si>
    <t>First</t>
  </si>
  <si>
    <t>Last</t>
  </si>
  <si>
    <t>Institution</t>
  </si>
  <si>
    <t>Country</t>
  </si>
  <si>
    <t>Status</t>
  </si>
  <si>
    <t>Code</t>
  </si>
  <si>
    <t>Currency</t>
  </si>
  <si>
    <t>No.</t>
  </si>
  <si>
    <t>Amount in Euro</t>
  </si>
  <si>
    <t>Role</t>
  </si>
  <si>
    <t>NPD Signature</t>
  </si>
  <si>
    <t>USA</t>
  </si>
  <si>
    <t>NATO Countries</t>
  </si>
  <si>
    <t>Albania</t>
  </si>
  <si>
    <t>Bulgaria</t>
  </si>
  <si>
    <t>Canada</t>
  </si>
  <si>
    <t>Czech Republic</t>
  </si>
  <si>
    <t>Belgium</t>
  </si>
  <si>
    <t>Croatia</t>
  </si>
  <si>
    <t>Denmark</t>
  </si>
  <si>
    <t>Estonia</t>
  </si>
  <si>
    <t>France</t>
  </si>
  <si>
    <t>Germany</t>
  </si>
  <si>
    <t>Greece</t>
  </si>
  <si>
    <t>Hungary</t>
  </si>
  <si>
    <t>Iceland</t>
  </si>
  <si>
    <t>Italy</t>
  </si>
  <si>
    <t>Latvia</t>
  </si>
  <si>
    <t>Lithuania</t>
  </si>
  <si>
    <t>Luxembourg</t>
  </si>
  <si>
    <t>Netherlands</t>
  </si>
  <si>
    <t>Norway</t>
  </si>
  <si>
    <t>Poland</t>
  </si>
  <si>
    <t>Portugal</t>
  </si>
  <si>
    <t>Romania</t>
  </si>
  <si>
    <t>Slovak Republic</t>
  </si>
  <si>
    <t>Slovenia</t>
  </si>
  <si>
    <t>Spain</t>
  </si>
  <si>
    <t>United Kingdom</t>
  </si>
  <si>
    <t>United States</t>
  </si>
  <si>
    <t>UK</t>
  </si>
  <si>
    <t>Partner Countries</t>
  </si>
  <si>
    <t>Afghanistan</t>
  </si>
  <si>
    <t>Algeria</t>
  </si>
  <si>
    <t>Armenia</t>
  </si>
  <si>
    <t>Australia</t>
  </si>
  <si>
    <t>Austria</t>
  </si>
  <si>
    <t>Azerbaijan</t>
  </si>
  <si>
    <t>Bahrain</t>
  </si>
  <si>
    <t>Belarus</t>
  </si>
  <si>
    <t>Bosnia and Herzegovina</t>
  </si>
  <si>
    <t>Egypt</t>
  </si>
  <si>
    <t>Georgia</t>
  </si>
  <si>
    <t>Iraq</t>
  </si>
  <si>
    <t>Ireland</t>
  </si>
  <si>
    <t>Israel</t>
  </si>
  <si>
    <t>Japan</t>
  </si>
  <si>
    <t>Jordan</t>
  </si>
  <si>
    <t>Kazakhstan</t>
  </si>
  <si>
    <t>Kuwait</t>
  </si>
  <si>
    <t>Kyrgyz Republic</t>
  </si>
  <si>
    <t>Malta</t>
  </si>
  <si>
    <t>Mauritania</t>
  </si>
  <si>
    <t>Moldova</t>
  </si>
  <si>
    <t>Mongolia</t>
  </si>
  <si>
    <t>Montenegro</t>
  </si>
  <si>
    <t>Morocco</t>
  </si>
  <si>
    <t>New Zealand</t>
  </si>
  <si>
    <t>Pakistan</t>
  </si>
  <si>
    <t>Qatar</t>
  </si>
  <si>
    <t>Republic of Korea</t>
  </si>
  <si>
    <t>Russian Federation</t>
  </si>
  <si>
    <t>Serbia</t>
  </si>
  <si>
    <t>Switzerland</t>
  </si>
  <si>
    <t>Tajikistan</t>
  </si>
  <si>
    <t>Tunisia</t>
  </si>
  <si>
    <t>Turkmenistan</t>
  </si>
  <si>
    <t>Ukraine</t>
  </si>
  <si>
    <t>United Arab Emirates</t>
  </si>
  <si>
    <t>Uzbekistan</t>
  </si>
  <si>
    <t>Unites States of America</t>
  </si>
  <si>
    <t>Date</t>
  </si>
  <si>
    <t>SPS Ref. No.</t>
  </si>
  <si>
    <t>YesNo</t>
  </si>
  <si>
    <t>Expense Categories</t>
  </si>
  <si>
    <t>Equipment</t>
  </si>
  <si>
    <t>Training</t>
  </si>
  <si>
    <t>Travel</t>
  </si>
  <si>
    <t>Consumables</t>
  </si>
  <si>
    <t>Stipends</t>
  </si>
  <si>
    <t>Category</t>
  </si>
  <si>
    <t>Communication &amp; Publication</t>
  </si>
  <si>
    <t>NATO Funds Received</t>
  </si>
  <si>
    <t>Account Balance</t>
  </si>
  <si>
    <t>Item Description</t>
  </si>
  <si>
    <t>Project Title</t>
  </si>
  <si>
    <t>NPD Name</t>
  </si>
  <si>
    <t>Name</t>
  </si>
  <si>
    <t>Total</t>
  </si>
  <si>
    <t>Budget to Date</t>
  </si>
  <si>
    <t>Spend to Date</t>
  </si>
  <si>
    <t>Initial</t>
  </si>
  <si>
    <t>Milestone 1</t>
  </si>
  <si>
    <t>Milestone 2</t>
  </si>
  <si>
    <t>Milestone 3</t>
  </si>
  <si>
    <t>Final</t>
  </si>
  <si>
    <t>Budget Initial</t>
  </si>
  <si>
    <t>Event</t>
  </si>
  <si>
    <t>Kickoff</t>
  </si>
  <si>
    <t>Budget Milestone 1</t>
  </si>
  <si>
    <t>Budget Milestone 2</t>
  </si>
  <si>
    <t>Budget Milestone 3</t>
  </si>
  <si>
    <t>AllCountries</t>
  </si>
  <si>
    <t>Date Updated</t>
  </si>
  <si>
    <t>Payment</t>
  </si>
  <si>
    <t>Budget Kickoff</t>
  </si>
  <si>
    <t>Spend K to I</t>
  </si>
  <si>
    <t>Spend I to M1</t>
  </si>
  <si>
    <t>Spend M1 to M2</t>
  </si>
  <si>
    <t>Spend M2 to M3</t>
  </si>
  <si>
    <t>Spend M3 to Final</t>
  </si>
  <si>
    <t>Totals</t>
  </si>
  <si>
    <t>row</t>
  </si>
  <si>
    <t>catIndex</t>
  </si>
  <si>
    <t>director</t>
  </si>
  <si>
    <t>cumSpend</t>
  </si>
  <si>
    <t>Kickoff End</t>
  </si>
  <si>
    <t>Initial End</t>
  </si>
  <si>
    <t>M1 End</t>
  </si>
  <si>
    <t>M2 End</t>
  </si>
  <si>
    <t>M3 End</t>
  </si>
  <si>
    <t>Milestone1</t>
  </si>
  <si>
    <t>Milestone2</t>
  </si>
  <si>
    <t>Milestone3</t>
  </si>
  <si>
    <t>Current</t>
  </si>
  <si>
    <t>Report</t>
  </si>
  <si>
    <t>Milestone</t>
  </si>
  <si>
    <t>Milestones</t>
  </si>
  <si>
    <t>Current Milestone</t>
  </si>
  <si>
    <t>Project</t>
  </si>
  <si>
    <t>Budget to date</t>
  </si>
  <si>
    <t>Spend to date</t>
  </si>
  <si>
    <t>Approved Budget</t>
  </si>
  <si>
    <t>Description</t>
  </si>
  <si>
    <t>Initial progress report due</t>
  </si>
  <si>
    <t>Project Duration</t>
  </si>
  <si>
    <t>Project Duration (months)</t>
  </si>
  <si>
    <t>Final Report Due</t>
  </si>
  <si>
    <t>Anticipated Date (after kickoff)</t>
  </si>
  <si>
    <t>including computers and software</t>
  </si>
  <si>
    <t>including related travel</t>
  </si>
  <si>
    <t>Books &amp; Journals</t>
  </si>
  <si>
    <t>Publication &amp; IPR Protection</t>
  </si>
  <si>
    <t>Communications &amp; Publicity</t>
  </si>
  <si>
    <t>SPS Total</t>
  </si>
  <si>
    <t>SPS Grand Total</t>
  </si>
  <si>
    <t>Detailed Budget</t>
  </si>
  <si>
    <t>NPD</t>
  </si>
  <si>
    <t>PPD</t>
  </si>
  <si>
    <t>CoA</t>
  </si>
  <si>
    <t>CoB</t>
  </si>
  <si>
    <t>CoC</t>
  </si>
  <si>
    <t>CoH</t>
  </si>
  <si>
    <t>CoD</t>
  </si>
  <si>
    <t>CoE</t>
  </si>
  <si>
    <t>CoF</t>
  </si>
  <si>
    <t>CoG</t>
  </si>
  <si>
    <t>Proposed in Project Plan</t>
  </si>
  <si>
    <t>Short Title</t>
  </si>
  <si>
    <t>IPR Status</t>
  </si>
  <si>
    <t>Budget as of Milestone 1</t>
  </si>
  <si>
    <t>Budget as of Milestone 2</t>
  </si>
  <si>
    <t>Budget as of Milestone 3</t>
  </si>
  <si>
    <t>Budget as of Project End</t>
  </si>
  <si>
    <t>Waived</t>
  </si>
  <si>
    <t>Done</t>
  </si>
  <si>
    <t>To Do</t>
  </si>
  <si>
    <t>Expected Date (months post Kickoff)</t>
  </si>
  <si>
    <t xml:space="preserve">Expected Date </t>
  </si>
  <si>
    <t>Proposed by SPS Office</t>
  </si>
  <si>
    <t>Milestone 4</t>
  </si>
  <si>
    <t>Initial Budget</t>
  </si>
  <si>
    <t>Budget as of Milestone 4</t>
  </si>
  <si>
    <t>Start Date
(Kickoff)</t>
  </si>
  <si>
    <t>Manufacturer</t>
  </si>
  <si>
    <t>Model</t>
  </si>
  <si>
    <t>Serial Number</t>
  </si>
  <si>
    <t>Date of Purchase</t>
  </si>
  <si>
    <t>Cost</t>
  </si>
  <si>
    <t>Project Balance</t>
  </si>
  <si>
    <t>To Grant</t>
  </si>
  <si>
    <t>Location
(Country/Institute/Room, etc)</t>
  </si>
  <si>
    <t xml:space="preserve">SPS ID NO: </t>
  </si>
  <si>
    <t>Colombia</t>
  </si>
  <si>
    <t>ENTER DATES WHICH FALL WITHIN THE REPORTING PERIOD AND NOT PREVIOUS OR FUTURE MILESTONES</t>
  </si>
  <si>
    <t>SPS Label Number</t>
  </si>
  <si>
    <t>North Macedonia</t>
  </si>
  <si>
    <t>North Macedonian denar</t>
  </si>
  <si>
    <t>Türkiye</t>
  </si>
  <si>
    <r>
      <rPr>
        <i/>
        <strike/>
        <sz val="10"/>
        <color rgb="FFFF0000"/>
        <rFont val="Arial"/>
        <family val="2"/>
      </rPr>
      <t>Russian Federation</t>
    </r>
    <r>
      <rPr>
        <i/>
        <sz val="10"/>
        <color rgb="FFFF0000"/>
        <rFont val="Arial"/>
        <family val="2"/>
      </rPr>
      <t xml:space="preserve"> (not eligible)</t>
    </r>
  </si>
  <si>
    <r>
      <t xml:space="preserve">Belarus </t>
    </r>
    <r>
      <rPr>
        <i/>
        <sz val="10"/>
        <color rgb="FFFF0000"/>
        <rFont val="Arial"/>
        <family val="2"/>
      </rPr>
      <t>(not eligible)</t>
    </r>
  </si>
  <si>
    <r>
      <t xml:space="preserve">Afghanistan </t>
    </r>
    <r>
      <rPr>
        <i/>
        <sz val="10"/>
        <color rgb="FFFF0000"/>
        <rFont val="Arial"/>
        <family val="2"/>
      </rPr>
      <t>(not eligible)</t>
    </r>
  </si>
  <si>
    <t>Finland</t>
  </si>
  <si>
    <t>Czechia</t>
  </si>
  <si>
    <t>Co-financing of personnel</t>
  </si>
  <si>
    <t>Slovakia</t>
  </si>
  <si>
    <t>I hereby certify that the expenses as described here were incurred for this SPS Project in accordance with SPS rules, that this form includes all expenses charged to this SPS Project, and that all related back-up documents remain on file with me.</t>
  </si>
  <si>
    <t>Sweden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</si>
</sst>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64" formatCode="_(* #,##0_);_(* \(#,##0\);_(* &quot;-&quot;_);_(@_)"/>
    <numFmt numFmtId="165" formatCode="_(&quot;€&quot;* #,##0.00_);_(&quot;€&quot;* \(#,##0.00\);_(&quot;€&quot;* &quot;-&quot;??_);_(@_)"/>
    <numFmt numFmtId="166" formatCode="_(* #,##0.00_);_(* \(#,##0.00\);_(* &quot;-&quot;??_);_(@_)"/>
    <numFmt numFmtId="167" formatCode="000"/>
    <numFmt numFmtId="168" formatCode="mmm\ d\,\ yyyy;@"/>
    <numFmt numFmtId="169" formatCode="yyyy/mm/dd;@"/>
    <numFmt numFmtId="170" formatCode="yyyy/mm/dd"/>
    <numFmt numFmtId="171" formatCode="&quot;€&quot;#,##0"/>
    <numFmt numFmtId="172" formatCode="[$€-2]\ #,##0"/>
    <numFmt numFmtId="173" formatCode="_(&quot;€&quot;* #,##0_);_(&quot;€&quot;* \(#,##0\);_(&quot;€&quot;* &quot;-&quot;??_);_(@_)"/>
    <numFmt numFmtId="174" formatCode="yyyy\ mmm\ dd"/>
    <numFmt numFmtId="175" formatCode="yyyy\ dd\ mmm"/>
  </numFmts>
  <fonts count="24" x14ac:knownFonts="1">
    <font>
      <sz val="11"/>
      <color theme="1"/>
      <name val="Calibri"/>
      <family val="2"/>
      <scheme val="minor"/>
    </font>
    <font>
      <sz val="10"/>
      <color theme="1"/>
      <name val="Arial"/>
      <family val="2"/>
    </font>
    <font>
      <b/>
      <sz val="10"/>
      <color theme="0"/>
      <name val="Arial"/>
      <family val="2"/>
    </font>
    <font>
      <b/>
      <sz val="10"/>
      <color theme="1"/>
      <name val="Arial"/>
      <family val="2"/>
    </font>
    <font>
      <sz val="10"/>
      <color theme="1"/>
      <name val="Arial"/>
      <family val="2"/>
    </font>
    <font>
      <sz val="10"/>
      <name val="Arial"/>
      <family val="2"/>
    </font>
    <font>
      <sz val="10"/>
      <color theme="0"/>
      <name val="Arial"/>
      <family val="2"/>
    </font>
    <font>
      <b/>
      <sz val="14"/>
      <color theme="0"/>
      <name val="Arial"/>
      <family val="2"/>
    </font>
    <font>
      <sz val="10"/>
      <name val="Arial"/>
      <family val="2"/>
    </font>
    <font>
      <sz val="11"/>
      <color theme="1"/>
      <name val="Calibri"/>
      <family val="2"/>
      <scheme val="minor"/>
    </font>
    <font>
      <b/>
      <sz val="10"/>
      <color rgb="FFFF0000"/>
      <name val="Arial"/>
      <family val="2"/>
    </font>
    <font>
      <i/>
      <sz val="9"/>
      <color rgb="FFFF0000"/>
      <name val="Times New Roman"/>
      <family val="1"/>
    </font>
    <font>
      <b/>
      <sz val="10"/>
      <name val="Arial"/>
      <family val="2"/>
    </font>
    <font>
      <i/>
      <sz val="9"/>
      <color theme="0"/>
      <name val="Times New Roman"/>
      <family val="1"/>
    </font>
    <font>
      <b/>
      <sz val="10"/>
      <color rgb="FFDBE5F1"/>
      <name val="Arial"/>
      <family val="2"/>
    </font>
    <font>
      <sz val="10"/>
      <color theme="1"/>
      <name val="Arial"/>
      <family val="2"/>
    </font>
    <font>
      <b/>
      <sz val="10"/>
      <color theme="0"/>
      <name val="Arial"/>
      <family val="2"/>
    </font>
    <font>
      <sz val="10"/>
      <color theme="1"/>
      <name val="Arial"/>
      <family val="2"/>
    </font>
    <font>
      <strike/>
      <sz val="10"/>
      <color theme="1"/>
      <name val="Arial"/>
      <family val="2"/>
    </font>
    <font>
      <i/>
      <strike/>
      <sz val="10"/>
      <color rgb="FFFF0000"/>
      <name val="Arial"/>
      <family val="2"/>
    </font>
    <font>
      <i/>
      <sz val="10"/>
      <color rgb="FFFF0000"/>
      <name val="Arial"/>
      <family val="2"/>
    </font>
    <font>
      <sz val="10"/>
      <color theme="1"/>
      <name val="Arial"/>
      <family val="2"/>
    </font>
    <font>
      <sz val="10"/>
      <color rgb="FFDBE5F1"/>
      <name val="Arial"/>
      <family val="2"/>
    </font>
    <font>
      <sz val="10"/>
      <color theme="1"/>
      <name val="Arial"/>
      <family val="2"/>
    </font>
  </fonts>
  <fills count="19">
    <fill>
      <patternFill patternType="none"/>
    </fill>
    <fill>
      <patternFill patternType="gray125"/>
    </fill>
    <fill>
      <patternFill patternType="solid">
        <fgColor theme="4"/>
        <bgColor theme="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bgColor indexed="64"/>
      </patternFill>
    </fill>
    <fill>
      <patternFill patternType="solid">
        <fgColor theme="4" tint="0.59996337778862885"/>
        <bgColor theme="4" tint="0.59999389629810485"/>
      </patternFill>
    </fill>
    <fill>
      <patternFill patternType="solid">
        <fgColor theme="5"/>
        <bgColor indexed="64"/>
      </patternFill>
    </fill>
    <fill>
      <patternFill patternType="solid">
        <fgColor theme="5" tint="0.59999389629810485"/>
        <bgColor theme="5" tint="0.59999389629810485"/>
      </patternFill>
    </fill>
    <fill>
      <patternFill patternType="solid">
        <fgColor theme="5"/>
        <bgColor theme="4"/>
      </patternFill>
    </fill>
    <fill>
      <patternFill patternType="solid">
        <fgColor theme="5" tint="0.79998168889431442"/>
        <bgColor theme="4" tint="0.59999389629810485"/>
      </patternFill>
    </fill>
    <fill>
      <patternFill patternType="solid">
        <fgColor theme="3" tint="0.59999389629810485"/>
        <bgColor indexed="64"/>
      </patternFill>
    </fill>
    <fill>
      <patternFill patternType="solid">
        <fgColor theme="4" tint="0.79998168889431442"/>
        <bgColor theme="4" tint="0.79989013336588644"/>
      </patternFill>
    </fill>
    <fill>
      <patternFill patternType="solid">
        <fgColor rgb="FF90AFD4"/>
        <bgColor theme="4" tint="0.59999389629810485"/>
      </patternFill>
    </fill>
    <fill>
      <patternFill patternType="solid">
        <fgColor theme="0"/>
        <bgColor indexed="64"/>
      </patternFill>
    </fill>
    <fill>
      <patternFill patternType="solid">
        <fgColor rgb="FFDBE5F1"/>
        <bgColor theme="4" tint="0.59999389629810485"/>
      </patternFill>
    </fill>
    <fill>
      <patternFill patternType="solid">
        <fgColor rgb="FF356095"/>
        <bgColor theme="4" tint="0.59999389629810485"/>
      </patternFill>
    </fill>
    <fill>
      <patternFill patternType="solid">
        <fgColor rgb="FF4E82C0"/>
        <bgColor theme="4"/>
      </patternFill>
    </fill>
    <fill>
      <patternFill patternType="solid">
        <fgColor rgb="FFFFFF00"/>
        <bgColor indexed="64"/>
      </patternFill>
    </fill>
  </fills>
  <borders count="33">
    <border>
      <left/>
      <right/>
      <top/>
      <bottom/>
      <diagonal/>
    </border>
    <border>
      <left/>
      <right style="thin">
        <color theme="0"/>
      </right>
      <top/>
      <bottom/>
      <diagonal/>
    </border>
    <border>
      <left style="thin">
        <color theme="0"/>
      </left>
      <right/>
      <top style="thin">
        <color theme="0"/>
      </top>
      <bottom style="thin">
        <color theme="0"/>
      </bottom>
      <diagonal/>
    </border>
    <border>
      <left style="thin">
        <color theme="0"/>
      </left>
      <right/>
      <top/>
      <bottom/>
      <diagonal/>
    </border>
    <border>
      <left/>
      <right/>
      <top/>
      <bottom style="thin">
        <color auto="1"/>
      </bottom>
      <diagonal/>
    </border>
    <border>
      <left/>
      <right/>
      <top/>
      <bottom style="thin">
        <color theme="0"/>
      </bottom>
      <diagonal/>
    </border>
    <border>
      <left/>
      <right style="thin">
        <color theme="0"/>
      </right>
      <top/>
      <bottom style="thin">
        <color theme="0"/>
      </bottom>
      <diagonal/>
    </border>
    <border>
      <left/>
      <right/>
      <top/>
      <bottom style="thick">
        <color theme="0"/>
      </bottom>
      <diagonal/>
    </border>
    <border>
      <left/>
      <right/>
      <top/>
      <bottom style="medium">
        <color theme="0"/>
      </bottom>
      <diagonal/>
    </border>
    <border>
      <left/>
      <right style="thin">
        <color theme="0"/>
      </right>
      <top/>
      <bottom style="medium">
        <color theme="0"/>
      </bottom>
      <diagonal/>
    </border>
    <border>
      <left style="thin">
        <color theme="0"/>
      </left>
      <right/>
      <top/>
      <bottom style="medium">
        <color theme="0"/>
      </bottom>
      <diagonal/>
    </border>
    <border>
      <left style="thin">
        <color theme="0"/>
      </left>
      <right/>
      <top style="medium">
        <color theme="0"/>
      </top>
      <bottom/>
      <diagonal/>
    </border>
    <border>
      <left/>
      <right style="thin">
        <color theme="0"/>
      </right>
      <top style="medium">
        <color theme="0"/>
      </top>
      <bottom/>
      <diagonal/>
    </border>
    <border>
      <left/>
      <right style="thin">
        <color theme="0"/>
      </right>
      <top/>
      <bottom style="thick">
        <color theme="0"/>
      </bottom>
      <diagonal/>
    </border>
    <border>
      <left style="thin">
        <color theme="0"/>
      </left>
      <right/>
      <top style="medium">
        <color theme="0"/>
      </top>
      <bottom style="thin">
        <color theme="0"/>
      </bottom>
      <diagonal/>
    </border>
    <border>
      <left/>
      <right/>
      <top style="thin">
        <color theme="0"/>
      </top>
      <bottom style="thin">
        <color theme="0"/>
      </bottom>
      <diagonal/>
    </border>
    <border>
      <left style="thin">
        <color theme="0"/>
      </left>
      <right style="thin">
        <color theme="0"/>
      </right>
      <top style="medium">
        <color theme="0"/>
      </top>
      <bottom style="thin">
        <color theme="0"/>
      </bottom>
      <diagonal/>
    </border>
    <border>
      <left style="thin">
        <color theme="0"/>
      </left>
      <right style="thin">
        <color theme="0"/>
      </right>
      <top style="medium">
        <color theme="0"/>
      </top>
      <bottom style="medium">
        <color theme="0"/>
      </bottom>
      <diagonal/>
    </border>
    <border>
      <left style="thin">
        <color theme="0"/>
      </left>
      <right style="thin">
        <color theme="0"/>
      </right>
      <top/>
      <bottom style="medium">
        <color theme="0"/>
      </bottom>
      <diagonal/>
    </border>
    <border>
      <left style="thin">
        <color theme="0"/>
      </left>
      <right style="thin">
        <color theme="0"/>
      </right>
      <top style="thin">
        <color theme="0"/>
      </top>
      <bottom style="thin">
        <color theme="0"/>
      </bottom>
      <diagonal/>
    </border>
    <border>
      <left/>
      <right/>
      <top style="medium">
        <color theme="0"/>
      </top>
      <bottom/>
      <diagonal/>
    </border>
    <border>
      <left/>
      <right/>
      <top style="medium">
        <color theme="0"/>
      </top>
      <bottom style="thin">
        <color theme="0"/>
      </bottom>
      <diagonal/>
    </border>
    <border>
      <left/>
      <right/>
      <top style="medium">
        <color theme="0"/>
      </top>
      <bottom style="medium">
        <color theme="0"/>
      </bottom>
      <diagonal/>
    </border>
    <border>
      <left style="thin">
        <color theme="0"/>
      </left>
      <right/>
      <top style="medium">
        <color theme="0"/>
      </top>
      <bottom style="medium">
        <color theme="0"/>
      </bottom>
      <diagonal/>
    </border>
    <border>
      <left style="thin">
        <color theme="0"/>
      </left>
      <right style="thin">
        <color theme="0"/>
      </right>
      <top style="medium">
        <color theme="0"/>
      </top>
      <bottom/>
      <diagonal/>
    </border>
    <border>
      <left/>
      <right style="thin">
        <color theme="0"/>
      </right>
      <top style="thick">
        <color theme="0"/>
      </top>
      <bottom/>
      <diagonal/>
    </border>
    <border>
      <left/>
      <right/>
      <top style="thick">
        <color theme="0"/>
      </top>
      <bottom/>
      <diagonal/>
    </border>
    <border>
      <left/>
      <right style="thin">
        <color rgb="FF356095"/>
      </right>
      <top/>
      <bottom/>
      <diagonal/>
    </border>
    <border>
      <left style="thin">
        <color rgb="FF356095"/>
      </left>
      <right style="thin">
        <color rgb="FF356095"/>
      </right>
      <top/>
      <bottom/>
      <diagonal/>
    </border>
    <border>
      <left style="thin">
        <color rgb="FF356095"/>
      </left>
      <right/>
      <top/>
      <bottom/>
      <diagonal/>
    </border>
    <border>
      <left style="thin">
        <color theme="0"/>
      </left>
      <right style="thin">
        <color theme="0"/>
      </right>
      <top/>
      <bottom style="thick">
        <color theme="0"/>
      </bottom>
      <diagonal/>
    </border>
    <border>
      <left style="thin">
        <color theme="0"/>
      </left>
      <right style="thin">
        <color theme="0"/>
      </right>
      <top/>
      <bottom style="thin">
        <color theme="0"/>
      </bottom>
      <diagonal/>
    </border>
    <border>
      <left style="thin">
        <color theme="0"/>
      </left>
      <right/>
      <top/>
      <bottom style="thin">
        <color theme="0"/>
      </bottom>
      <diagonal/>
    </border>
  </borders>
  <cellStyleXfs count="8">
    <xf numFmtId="0" fontId="0" fillId="0" borderId="0"/>
    <xf numFmtId="165" fontId="9" fillId="0" borderId="0" applyFont="0" applyFill="0" applyBorder="0" applyAlignment="0" applyProtection="0"/>
    <xf numFmtId="3" fontId="5" fillId="12" borderId="19"/>
    <xf numFmtId="170" fontId="2" fillId="13" borderId="21">
      <alignment vertical="center"/>
    </xf>
    <xf numFmtId="170" fontId="3" fillId="13" borderId="22">
      <alignment vertical="center"/>
    </xf>
    <xf numFmtId="0" fontId="2" fillId="2" borderId="23" applyNumberFormat="0">
      <alignment horizontal="right" vertical="center"/>
    </xf>
    <xf numFmtId="0" fontId="9" fillId="0" borderId="0"/>
    <xf numFmtId="166" fontId="9" fillId="0" borderId="0" applyFont="0" applyFill="0" applyBorder="0" applyAlignment="0" applyProtection="0"/>
  </cellStyleXfs>
  <cellXfs count="223">
    <xf numFmtId="0" fontId="0" fillId="0" borderId="0" xfId="0"/>
    <xf numFmtId="0" fontId="1" fillId="0" borderId="0" xfId="0" applyFont="1" applyAlignment="1">
      <alignment horizontal="left" vertical="center"/>
    </xf>
    <xf numFmtId="0" fontId="1" fillId="0" borderId="0" xfId="0" applyFont="1" applyBorder="1" applyAlignment="1">
      <alignment horizontal="left" vertical="center"/>
    </xf>
    <xf numFmtId="0" fontId="1" fillId="0" borderId="0" xfId="0" applyFont="1" applyAlignment="1" applyProtection="1">
      <alignment wrapText="1"/>
    </xf>
    <xf numFmtId="0" fontId="3" fillId="0" borderId="0" xfId="0" applyFont="1" applyAlignment="1" applyProtection="1">
      <alignment horizontal="center"/>
    </xf>
    <xf numFmtId="0" fontId="1" fillId="0" borderId="0" xfId="0" applyFont="1" applyAlignment="1" applyProtection="1"/>
    <xf numFmtId="0" fontId="1" fillId="0" borderId="4" xfId="0" applyFont="1" applyBorder="1" applyAlignment="1" applyProtection="1"/>
    <xf numFmtId="0" fontId="1" fillId="0" borderId="0" xfId="0" applyFont="1" applyAlignment="1" applyProtection="1">
      <alignment horizontal="center" vertical="center" wrapText="1"/>
    </xf>
    <xf numFmtId="0" fontId="1" fillId="0" borderId="0" xfId="0" applyFont="1" applyBorder="1" applyAlignment="1" applyProtection="1"/>
    <xf numFmtId="169" fontId="4" fillId="0" borderId="0" xfId="0" applyNumberFormat="1" applyFont="1" applyAlignment="1" applyProtection="1"/>
    <xf numFmtId="0" fontId="4" fillId="0" borderId="0" xfId="0" applyFont="1" applyAlignment="1" applyProtection="1"/>
    <xf numFmtId="164" fontId="4" fillId="0" borderId="0" xfId="0" applyNumberFormat="1" applyFont="1" applyAlignment="1" applyProtection="1"/>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center" vertical="center"/>
    </xf>
    <xf numFmtId="168" fontId="1" fillId="0" borderId="0" xfId="0" applyNumberFormat="1" applyFont="1" applyFill="1" applyBorder="1" applyAlignment="1" applyProtection="1">
      <alignment horizontal="left" vertical="center"/>
    </xf>
    <xf numFmtId="0" fontId="1" fillId="0" borderId="0" xfId="0" applyFont="1" applyFill="1" applyAlignment="1" applyProtection="1"/>
    <xf numFmtId="0" fontId="1" fillId="3" borderId="2" xfId="0" applyFont="1" applyFill="1" applyBorder="1" applyAlignment="1" applyProtection="1">
      <alignment vertical="center"/>
    </xf>
    <xf numFmtId="0" fontId="1" fillId="0" borderId="0" xfId="0" applyFont="1" applyBorder="1" applyAlignment="1" applyProtection="1">
      <alignment horizontal="right"/>
    </xf>
    <xf numFmtId="0" fontId="1" fillId="0" borderId="6" xfId="0" applyFont="1" applyFill="1" applyBorder="1" applyAlignment="1" applyProtection="1">
      <alignment vertical="center"/>
    </xf>
    <xf numFmtId="0" fontId="2" fillId="0" borderId="7" xfId="0" applyFont="1" applyFill="1" applyBorder="1" applyAlignment="1" applyProtection="1">
      <alignment wrapText="1"/>
    </xf>
    <xf numFmtId="0" fontId="2" fillId="2" borderId="10" xfId="0" applyFont="1" applyFill="1" applyBorder="1" applyAlignment="1" applyProtection="1">
      <alignment vertical="center" wrapText="1"/>
    </xf>
    <xf numFmtId="0" fontId="1" fillId="0" borderId="0" xfId="0" applyFont="1" applyFill="1" applyBorder="1" applyAlignment="1" applyProtection="1">
      <alignment wrapText="1"/>
    </xf>
    <xf numFmtId="0" fontId="2" fillId="0" borderId="0" xfId="0" applyFont="1" applyFill="1" applyBorder="1" applyAlignment="1" applyProtection="1">
      <alignment wrapText="1"/>
    </xf>
    <xf numFmtId="0" fontId="1" fillId="0" borderId="0" xfId="0" applyFont="1" applyFill="1" applyBorder="1" applyAlignment="1" applyProtection="1">
      <alignment vertical="center"/>
    </xf>
    <xf numFmtId="0" fontId="1" fillId="0" borderId="0" xfId="0" applyFont="1" applyBorder="1" applyAlignment="1" applyProtection="1">
      <alignment vertical="top" wrapText="1"/>
    </xf>
    <xf numFmtId="0" fontId="1" fillId="3" borderId="15" xfId="0" applyFont="1" applyFill="1" applyBorder="1" applyAlignment="1">
      <alignment horizontal="left" vertical="center"/>
    </xf>
    <xf numFmtId="0" fontId="1" fillId="4" borderId="5" xfId="0" applyFont="1" applyFill="1" applyBorder="1" applyAlignment="1">
      <alignment horizontal="left" vertical="center"/>
    </xf>
    <xf numFmtId="0" fontId="1" fillId="3" borderId="5" xfId="0" applyFont="1" applyFill="1" applyBorder="1" applyAlignment="1">
      <alignment horizontal="left" vertical="center"/>
    </xf>
    <xf numFmtId="167" fontId="2" fillId="5" borderId="0" xfId="0" applyNumberFormat="1" applyFont="1" applyFill="1" applyAlignment="1" applyProtection="1"/>
    <xf numFmtId="0" fontId="2" fillId="2" borderId="9" xfId="0" applyFont="1" applyFill="1" applyBorder="1" applyAlignment="1" applyProtection="1">
      <alignment horizontal="center" wrapText="1"/>
    </xf>
    <xf numFmtId="0" fontId="2" fillId="2" borderId="14" xfId="0" applyFont="1" applyFill="1" applyBorder="1" applyAlignment="1">
      <alignment vertical="center" wrapText="1"/>
    </xf>
    <xf numFmtId="170" fontId="1" fillId="3" borderId="17" xfId="0" applyNumberFormat="1" applyFont="1" applyFill="1" applyBorder="1" applyAlignment="1">
      <alignment vertical="center"/>
    </xf>
    <xf numFmtId="170" fontId="1" fillId="3" borderId="16" xfId="0" applyNumberFormat="1" applyFont="1" applyFill="1" applyBorder="1" applyAlignment="1">
      <alignment vertical="center"/>
    </xf>
    <xf numFmtId="0" fontId="2" fillId="2" borderId="18" xfId="0" applyFont="1" applyFill="1" applyBorder="1" applyAlignment="1" applyProtection="1">
      <alignment horizontal="center" wrapText="1"/>
    </xf>
    <xf numFmtId="0" fontId="2" fillId="2" borderId="10" xfId="0" applyFont="1" applyFill="1" applyBorder="1" applyAlignment="1" applyProtection="1">
      <alignment horizontal="center" wrapText="1"/>
    </xf>
    <xf numFmtId="3" fontId="1" fillId="3" borderId="17" xfId="0" applyNumberFormat="1" applyFont="1" applyFill="1" applyBorder="1" applyAlignment="1">
      <alignment vertical="center"/>
    </xf>
    <xf numFmtId="3" fontId="1" fillId="3" borderId="16" xfId="0" applyNumberFormat="1" applyFont="1" applyFill="1" applyBorder="1" applyAlignment="1">
      <alignment vertical="center"/>
    </xf>
    <xf numFmtId="0" fontId="1" fillId="0" borderId="0" xfId="0" applyFont="1"/>
    <xf numFmtId="0" fontId="1" fillId="0" borderId="0" xfId="0" applyFont="1" applyFill="1"/>
    <xf numFmtId="0" fontId="1" fillId="0" borderId="0" xfId="0" applyFont="1" applyAlignment="1">
      <alignment horizontal="center" vertical="center" wrapText="1"/>
    </xf>
    <xf numFmtId="0" fontId="1" fillId="0" borderId="0" xfId="0" applyNumberFormat="1" applyFont="1"/>
    <xf numFmtId="0" fontId="2" fillId="5" borderId="0" xfId="0" applyFont="1" applyFill="1"/>
    <xf numFmtId="3" fontId="1" fillId="0" borderId="0" xfId="0" applyNumberFormat="1" applyFont="1"/>
    <xf numFmtId="0" fontId="1" fillId="0" borderId="0" xfId="0" applyFont="1" applyAlignment="1">
      <alignment wrapText="1"/>
    </xf>
    <xf numFmtId="0" fontId="1" fillId="0" borderId="0" xfId="0" applyFont="1" applyProtection="1">
      <protection locked="0"/>
    </xf>
    <xf numFmtId="0" fontId="1" fillId="0" borderId="0" xfId="0" applyFont="1" applyAlignment="1" applyProtection="1">
      <alignment wrapText="1"/>
      <protection locked="0"/>
    </xf>
    <xf numFmtId="0" fontId="1" fillId="0" borderId="0" xfId="0" applyNumberFormat="1" applyFont="1" applyProtection="1">
      <protection locked="0"/>
    </xf>
    <xf numFmtId="0" fontId="1" fillId="0" borderId="0" xfId="0" applyFont="1" applyAlignment="1">
      <alignment vertical="center"/>
    </xf>
    <xf numFmtId="0" fontId="1" fillId="0" borderId="0" xfId="0" applyFont="1" applyBorder="1" applyAlignment="1">
      <alignment vertical="center"/>
    </xf>
    <xf numFmtId="0" fontId="5" fillId="0" borderId="0" xfId="0" applyFont="1" applyFill="1" applyAlignment="1">
      <alignment vertical="center"/>
    </xf>
    <xf numFmtId="0" fontId="6" fillId="0" borderId="1" xfId="0" applyFont="1" applyFill="1" applyBorder="1"/>
    <xf numFmtId="3" fontId="6" fillId="0" borderId="1" xfId="0" applyNumberFormat="1" applyFont="1" applyFill="1" applyBorder="1"/>
    <xf numFmtId="3" fontId="6" fillId="0" borderId="0" xfId="0" applyNumberFormat="1" applyFont="1" applyFill="1" applyBorder="1"/>
    <xf numFmtId="0" fontId="2" fillId="7" borderId="0" xfId="0" applyFont="1" applyFill="1"/>
    <xf numFmtId="0" fontId="2" fillId="0" borderId="0" xfId="0" applyFont="1" applyFill="1"/>
    <xf numFmtId="0" fontId="2" fillId="0" borderId="13" xfId="0" applyFont="1" applyFill="1" applyBorder="1" applyAlignment="1">
      <alignment horizontal="center" vertical="center" wrapText="1"/>
    </xf>
    <xf numFmtId="3" fontId="1" fillId="0" borderId="6" xfId="0" applyNumberFormat="1" applyFont="1" applyFill="1" applyBorder="1"/>
    <xf numFmtId="3" fontId="1" fillId="0" borderId="5" xfId="0" applyNumberFormat="1" applyFont="1" applyFill="1" applyBorder="1"/>
    <xf numFmtId="164" fontId="1" fillId="0" borderId="0" xfId="0" applyNumberFormat="1" applyFont="1" applyAlignment="1" applyProtection="1"/>
    <xf numFmtId="170" fontId="1" fillId="0" borderId="0" xfId="0" applyNumberFormat="1" applyFont="1"/>
    <xf numFmtId="3" fontId="1" fillId="0" borderId="0" xfId="0" applyNumberFormat="1" applyFont="1" applyAlignment="1">
      <alignment vertical="center"/>
    </xf>
    <xf numFmtId="3" fontId="1" fillId="0" borderId="0" xfId="0" applyNumberFormat="1" applyFont="1" applyBorder="1" applyAlignment="1">
      <alignment vertical="center"/>
    </xf>
    <xf numFmtId="3" fontId="1" fillId="0" borderId="0" xfId="0" applyNumberFormat="1" applyFont="1" applyAlignment="1">
      <alignment horizontal="center" vertical="center" wrapText="1"/>
    </xf>
    <xf numFmtId="3" fontId="1" fillId="8" borderId="6" xfId="0" applyNumberFormat="1" applyFont="1" applyFill="1" applyBorder="1" applyAlignment="1">
      <alignment vertical="center"/>
    </xf>
    <xf numFmtId="0" fontId="8" fillId="0" borderId="0" xfId="0" applyFont="1" applyFill="1" applyAlignment="1">
      <alignment vertical="center"/>
    </xf>
    <xf numFmtId="0" fontId="5" fillId="0" borderId="0" xfId="0" applyFont="1" applyFill="1" applyBorder="1" applyAlignment="1">
      <alignment vertical="top"/>
    </xf>
    <xf numFmtId="0" fontId="1" fillId="0" borderId="0" xfId="0" applyNumberFormat="1" applyFont="1" applyAlignment="1" applyProtection="1">
      <alignment wrapText="1"/>
    </xf>
    <xf numFmtId="0" fontId="1" fillId="0" borderId="0" xfId="0" applyNumberFormat="1" applyFont="1" applyAlignment="1" applyProtection="1"/>
    <xf numFmtId="0" fontId="1" fillId="6" borderId="11" xfId="0" applyFont="1" applyFill="1" applyBorder="1" applyAlignment="1" applyProtection="1">
      <alignment vertical="center"/>
    </xf>
    <xf numFmtId="0" fontId="5" fillId="0" borderId="0" xfId="0" applyFont="1" applyFill="1" applyBorder="1" applyAlignment="1">
      <alignment vertical="center"/>
    </xf>
    <xf numFmtId="0" fontId="5" fillId="0" borderId="0" xfId="0" applyFont="1" applyBorder="1" applyAlignment="1">
      <alignment vertical="center"/>
    </xf>
    <xf numFmtId="0" fontId="2" fillId="2" borderId="10" xfId="0" applyFont="1" applyFill="1" applyBorder="1" applyAlignment="1" applyProtection="1">
      <alignment horizontal="center" vertical="center" wrapText="1"/>
    </xf>
    <xf numFmtId="3" fontId="1" fillId="0" borderId="7" xfId="0" applyNumberFormat="1" applyFont="1" applyBorder="1" applyAlignment="1">
      <alignment horizontal="center" vertical="center" wrapText="1"/>
    </xf>
    <xf numFmtId="0" fontId="2" fillId="2" borderId="18" xfId="0" applyFont="1" applyFill="1" applyBorder="1" applyAlignment="1" applyProtection="1">
      <alignment horizontal="center" vertical="center" wrapText="1"/>
    </xf>
    <xf numFmtId="3" fontId="1" fillId="0" borderId="0" xfId="0" applyNumberFormat="1" applyFont="1" applyAlignment="1">
      <alignment horizontal="center" vertical="center"/>
    </xf>
    <xf numFmtId="173" fontId="1" fillId="3" borderId="24" xfId="7" applyNumberFormat="1" applyFont="1" applyFill="1" applyBorder="1" applyAlignment="1" applyProtection="1">
      <alignment vertical="center"/>
    </xf>
    <xf numFmtId="0" fontId="2" fillId="2" borderId="18" xfId="0" applyFont="1" applyFill="1" applyBorder="1" applyAlignment="1" applyProtection="1">
      <alignment horizontal="center" vertical="center" wrapText="1"/>
    </xf>
    <xf numFmtId="0" fontId="2" fillId="2" borderId="8" xfId="0" applyFont="1" applyFill="1" applyBorder="1" applyAlignment="1" applyProtection="1">
      <alignment vertical="center" wrapText="1"/>
    </xf>
    <xf numFmtId="0" fontId="1" fillId="3" borderId="20" xfId="0" applyFont="1" applyFill="1" applyBorder="1" applyAlignment="1" applyProtection="1">
      <alignment vertical="center"/>
    </xf>
    <xf numFmtId="0" fontId="0" fillId="0" borderId="0" xfId="0" applyBorder="1"/>
    <xf numFmtId="174" fontId="1" fillId="0" borderId="0" xfId="0" applyNumberFormat="1" applyFont="1"/>
    <xf numFmtId="3" fontId="1" fillId="0" borderId="0" xfId="0" applyNumberFormat="1" applyFont="1" applyFill="1" applyAlignment="1">
      <alignment horizontal="center" vertical="center" wrapText="1"/>
    </xf>
    <xf numFmtId="0" fontId="1" fillId="3" borderId="3" xfId="0" applyFont="1" applyFill="1" applyBorder="1" applyAlignment="1" applyProtection="1">
      <alignment vertical="center"/>
      <protection locked="0"/>
    </xf>
    <xf numFmtId="174" fontId="1" fillId="3" borderId="3" xfId="0" applyNumberFormat="1" applyFont="1" applyFill="1" applyBorder="1" applyAlignment="1" applyProtection="1">
      <alignment vertical="center"/>
      <protection locked="0"/>
    </xf>
    <xf numFmtId="3" fontId="5" fillId="0" borderId="0" xfId="2" applyFill="1" applyBorder="1" applyProtection="1">
      <protection locked="0"/>
    </xf>
    <xf numFmtId="3" fontId="1" fillId="0" borderId="0" xfId="0" applyNumberFormat="1" applyFont="1" applyAlignment="1" applyProtection="1">
      <alignment vertical="center"/>
      <protection locked="0"/>
    </xf>
    <xf numFmtId="0" fontId="1" fillId="3" borderId="11" xfId="0" applyFont="1" applyFill="1" applyBorder="1" applyAlignment="1" applyProtection="1">
      <alignment horizontal="center" vertical="center"/>
      <protection locked="0"/>
    </xf>
    <xf numFmtId="171" fontId="1" fillId="15" borderId="3" xfId="0" applyNumberFormat="1" applyFont="1" applyFill="1" applyBorder="1" applyAlignment="1" applyProtection="1">
      <alignment vertical="center"/>
      <protection locked="0"/>
    </xf>
    <xf numFmtId="0" fontId="1" fillId="15" borderId="3" xfId="0" applyFont="1" applyFill="1" applyBorder="1" applyAlignment="1" applyProtection="1">
      <alignment vertical="center" wrapText="1"/>
      <protection locked="0"/>
    </xf>
    <xf numFmtId="172" fontId="12" fillId="14" borderId="0" xfId="0" applyNumberFormat="1" applyFont="1" applyFill="1" applyBorder="1" applyAlignment="1">
      <alignment horizontal="right" vertical="center" wrapText="1"/>
    </xf>
    <xf numFmtId="172" fontId="12" fillId="14" borderId="0" xfId="0" applyNumberFormat="1" applyFont="1" applyFill="1" applyBorder="1" applyAlignment="1">
      <alignment horizontal="center" vertical="center" wrapText="1"/>
    </xf>
    <xf numFmtId="172" fontId="10" fillId="14" borderId="0" xfId="0" applyNumberFormat="1" applyFont="1" applyFill="1" applyBorder="1" applyAlignment="1">
      <alignment horizontal="right" vertical="center" wrapText="1"/>
    </xf>
    <xf numFmtId="0" fontId="7" fillId="2" borderId="0" xfId="0" applyFont="1" applyFill="1" applyBorder="1" applyAlignment="1">
      <alignment horizontal="center" vertical="center"/>
    </xf>
    <xf numFmtId="0" fontId="2" fillId="2" borderId="0" xfId="0" applyFont="1" applyFill="1" applyBorder="1" applyAlignment="1">
      <alignment vertical="center" wrapText="1"/>
    </xf>
    <xf numFmtId="0" fontId="5" fillId="12" borderId="0" xfId="2" applyNumberFormat="1" applyFont="1" applyBorder="1"/>
    <xf numFmtId="0" fontId="11" fillId="12" borderId="0" xfId="2" applyNumberFormat="1" applyFont="1" applyBorder="1" applyAlignment="1">
      <alignment horizontal="center" vertical="center"/>
    </xf>
    <xf numFmtId="3" fontId="1" fillId="14" borderId="0" xfId="0" applyNumberFormat="1" applyFont="1" applyFill="1" applyBorder="1" applyAlignment="1">
      <alignment horizontal="left" vertical="center" wrapText="1"/>
    </xf>
    <xf numFmtId="3" fontId="1" fillId="0" borderId="0" xfId="0" applyNumberFormat="1" applyFont="1" applyBorder="1" applyAlignment="1">
      <alignment horizontal="center" vertical="center" wrapText="1"/>
    </xf>
    <xf numFmtId="171" fontId="2" fillId="17" borderId="0" xfId="5" applyNumberFormat="1" applyFill="1" applyBorder="1">
      <alignment horizontal="right" vertical="center"/>
    </xf>
    <xf numFmtId="171" fontId="2" fillId="17" borderId="0" xfId="1" applyNumberFormat="1" applyFont="1" applyFill="1" applyBorder="1" applyAlignment="1">
      <alignment horizontal="right" vertical="center"/>
    </xf>
    <xf numFmtId="170" fontId="13" fillId="16" borderId="28" xfId="4" applyFont="1" applyFill="1" applyBorder="1">
      <alignment vertical="center"/>
    </xf>
    <xf numFmtId="170" fontId="3" fillId="16" borderId="28" xfId="4" applyFill="1" applyBorder="1">
      <alignment vertical="center"/>
    </xf>
    <xf numFmtId="170" fontId="3" fillId="16" borderId="29" xfId="4" applyFill="1" applyBorder="1">
      <alignment vertical="center"/>
    </xf>
    <xf numFmtId="3" fontId="5" fillId="14" borderId="0" xfId="2" applyFont="1" applyFill="1" applyBorder="1" applyProtection="1"/>
    <xf numFmtId="0" fontId="5" fillId="0" borderId="0" xfId="0" applyFont="1" applyBorder="1" applyAlignment="1" applyProtection="1">
      <alignment vertical="center"/>
    </xf>
    <xf numFmtId="3" fontId="1" fillId="0" borderId="6" xfId="0" applyNumberFormat="1" applyFont="1" applyFill="1" applyBorder="1" applyAlignment="1">
      <alignment vertical="center"/>
    </xf>
    <xf numFmtId="3" fontId="2" fillId="2" borderId="13" xfId="0" applyNumberFormat="1" applyFont="1" applyFill="1" applyBorder="1" applyAlignment="1">
      <alignment horizontal="center" vertical="center" wrapText="1"/>
    </xf>
    <xf numFmtId="3" fontId="2" fillId="2" borderId="7" xfId="0" applyNumberFormat="1" applyFont="1" applyFill="1" applyBorder="1" applyAlignment="1">
      <alignment horizontal="center" vertical="center" wrapText="1"/>
    </xf>
    <xf numFmtId="3" fontId="1" fillId="3" borderId="6" xfId="0" applyNumberFormat="1" applyFont="1" applyFill="1" applyBorder="1" applyAlignment="1">
      <alignment vertical="center"/>
    </xf>
    <xf numFmtId="3" fontId="1" fillId="3" borderId="5" xfId="0" applyNumberFormat="1" applyFont="1" applyFill="1" applyBorder="1" applyAlignment="1">
      <alignment vertical="center"/>
    </xf>
    <xf numFmtId="3" fontId="1" fillId="4" borderId="6" xfId="0" applyNumberFormat="1" applyFont="1" applyFill="1" applyBorder="1" applyAlignment="1">
      <alignment vertical="center"/>
    </xf>
    <xf numFmtId="3" fontId="1" fillId="4" borderId="5" xfId="0" applyNumberFormat="1" applyFont="1" applyFill="1" applyBorder="1" applyAlignment="1">
      <alignment vertical="center"/>
    </xf>
    <xf numFmtId="3" fontId="1" fillId="4" borderId="1" xfId="0" applyNumberFormat="1" applyFont="1" applyFill="1" applyBorder="1" applyAlignment="1">
      <alignment vertical="center"/>
    </xf>
    <xf numFmtId="3" fontId="1" fillId="4" borderId="0" xfId="0" applyNumberFormat="1" applyFont="1" applyFill="1" applyBorder="1" applyAlignment="1">
      <alignment vertical="center"/>
    </xf>
    <xf numFmtId="3" fontId="2" fillId="2" borderId="25" xfId="0" applyNumberFormat="1" applyFont="1" applyFill="1" applyBorder="1" applyAlignment="1">
      <alignment vertical="center"/>
    </xf>
    <xf numFmtId="3" fontId="2" fillId="2" borderId="26" xfId="0" applyNumberFormat="1" applyFont="1" applyFill="1" applyBorder="1" applyAlignment="1">
      <alignment vertical="center"/>
    </xf>
    <xf numFmtId="3" fontId="2" fillId="2" borderId="30" xfId="0" applyNumberFormat="1" applyFont="1" applyFill="1" applyBorder="1" applyAlignment="1">
      <alignment horizontal="center" vertical="center" wrapText="1"/>
    </xf>
    <xf numFmtId="3" fontId="1" fillId="3" borderId="31" xfId="0" applyNumberFormat="1" applyFont="1" applyFill="1" applyBorder="1" applyAlignment="1">
      <alignment vertical="center"/>
    </xf>
    <xf numFmtId="3" fontId="1" fillId="0" borderId="31" xfId="0" applyNumberFormat="1" applyFont="1" applyFill="1" applyBorder="1" applyAlignment="1">
      <alignment vertical="center"/>
    </xf>
    <xf numFmtId="3" fontId="1" fillId="0" borderId="1" xfId="0" applyNumberFormat="1" applyFont="1" applyFill="1" applyBorder="1" applyAlignment="1">
      <alignment vertical="center"/>
    </xf>
    <xf numFmtId="3" fontId="1" fillId="0" borderId="5" xfId="0" applyNumberFormat="1" applyFont="1" applyFill="1" applyBorder="1" applyAlignment="1">
      <alignment vertical="center"/>
    </xf>
    <xf numFmtId="3" fontId="1" fillId="0" borderId="0" xfId="0" applyNumberFormat="1" applyFont="1" applyFill="1" applyBorder="1" applyAlignment="1">
      <alignment vertical="center"/>
    </xf>
    <xf numFmtId="3" fontId="1" fillId="0" borderId="0" xfId="0" applyNumberFormat="1" applyFont="1" applyFill="1" applyAlignment="1">
      <alignment vertical="center"/>
    </xf>
    <xf numFmtId="3" fontId="1" fillId="0" borderId="0" xfId="0" applyNumberFormat="1" applyFont="1" applyFill="1" applyAlignment="1" applyProtection="1">
      <alignment vertical="center"/>
      <protection locked="0"/>
    </xf>
    <xf numFmtId="0" fontId="16" fillId="5" borderId="0" xfId="0" applyFont="1" applyFill="1" applyBorder="1"/>
    <xf numFmtId="0" fontId="15" fillId="0" borderId="0" xfId="0" applyFont="1" applyBorder="1" applyProtection="1">
      <protection locked="0"/>
    </xf>
    <xf numFmtId="0" fontId="15" fillId="0" borderId="0" xfId="0" applyFont="1" applyBorder="1" applyAlignment="1" applyProtection="1">
      <alignment wrapText="1"/>
      <protection locked="0"/>
    </xf>
    <xf numFmtId="0" fontId="15" fillId="0" borderId="0" xfId="0" applyNumberFormat="1" applyFont="1" applyBorder="1" applyProtection="1">
      <protection locked="0"/>
    </xf>
    <xf numFmtId="0" fontId="7" fillId="2" borderId="0" xfId="0" applyFont="1" applyFill="1" applyBorder="1" applyAlignment="1">
      <alignment horizontal="left" vertical="center" wrapText="1"/>
    </xf>
    <xf numFmtId="0" fontId="7" fillId="2" borderId="0" xfId="0" applyFont="1" applyFill="1" applyBorder="1" applyAlignment="1">
      <alignment horizontal="center" vertical="center"/>
    </xf>
    <xf numFmtId="0" fontId="2" fillId="2" borderId="0" xfId="0" applyFont="1" applyFill="1" applyBorder="1" applyAlignment="1">
      <alignment horizontal="left" vertical="center"/>
    </xf>
    <xf numFmtId="0" fontId="5" fillId="12" borderId="0" xfId="2" applyNumberFormat="1" applyFont="1" applyBorder="1"/>
    <xf numFmtId="0" fontId="0" fillId="0" borderId="0" xfId="0" applyAlignment="1">
      <alignment wrapText="1"/>
    </xf>
    <xf numFmtId="0" fontId="0" fillId="0" borderId="0" xfId="0" applyAlignment="1">
      <alignment horizontal="center" vertical="center" wrapText="1"/>
    </xf>
    <xf numFmtId="0" fontId="0" fillId="0" borderId="0" xfId="0" applyAlignment="1" applyProtection="1">
      <alignment wrapText="1"/>
      <protection locked="0"/>
    </xf>
    <xf numFmtId="175" fontId="0" fillId="0" borderId="0" xfId="0" applyNumberFormat="1" applyAlignment="1" applyProtection="1">
      <alignment wrapText="1"/>
      <protection locked="0"/>
    </xf>
    <xf numFmtId="0" fontId="5" fillId="12" borderId="0" xfId="2" applyNumberFormat="1" applyFont="1" applyBorder="1" applyAlignment="1">
      <alignment wrapText="1"/>
    </xf>
    <xf numFmtId="0" fontId="0" fillId="0" borderId="0" xfId="0" applyBorder="1" applyAlignment="1">
      <alignment wrapText="1"/>
    </xf>
    <xf numFmtId="170" fontId="2" fillId="13" borderId="0" xfId="3" applyBorder="1" applyAlignment="1">
      <alignment vertical="center" wrapText="1"/>
    </xf>
    <xf numFmtId="170" fontId="2" fillId="16" borderId="27" xfId="4" applyFont="1" applyFill="1" applyBorder="1" applyAlignment="1">
      <alignment vertical="center" wrapText="1"/>
    </xf>
    <xf numFmtId="3" fontId="5" fillId="0" borderId="0" xfId="2" applyFill="1" applyBorder="1" applyAlignment="1" applyProtection="1">
      <alignment wrapText="1"/>
      <protection locked="0"/>
    </xf>
    <xf numFmtId="0" fontId="2" fillId="17" borderId="0" xfId="0" applyFont="1" applyFill="1" applyBorder="1" applyAlignment="1">
      <alignment horizontal="right" vertical="center" wrapText="1"/>
    </xf>
    <xf numFmtId="170" fontId="5" fillId="0" borderId="0" xfId="0" applyNumberFormat="1" applyFont="1" applyFill="1" applyBorder="1" applyAlignment="1">
      <alignment vertical="center" wrapText="1"/>
    </xf>
    <xf numFmtId="0" fontId="5" fillId="14" borderId="0" xfId="0" applyFont="1" applyFill="1" applyBorder="1" applyAlignment="1">
      <alignment vertical="center" wrapText="1"/>
    </xf>
    <xf numFmtId="170" fontId="14" fillId="14" borderId="0" xfId="4" applyFont="1" applyFill="1" applyBorder="1" applyAlignment="1" applyProtection="1">
      <alignment vertical="center" wrapText="1"/>
    </xf>
    <xf numFmtId="0" fontId="5" fillId="0" borderId="0" xfId="0" applyFont="1" applyBorder="1" applyAlignment="1">
      <alignment vertical="center" wrapText="1"/>
    </xf>
    <xf numFmtId="0" fontId="2" fillId="2" borderId="18" xfId="0" applyFont="1" applyFill="1" applyBorder="1" applyAlignment="1" applyProtection="1">
      <alignment horizontal="center" vertical="center" wrapText="1"/>
    </xf>
    <xf numFmtId="3" fontId="1" fillId="3" borderId="16" xfId="0" applyNumberFormat="1" applyFont="1" applyFill="1" applyBorder="1" applyAlignment="1" applyProtection="1">
      <alignment horizontal="center" vertical="center"/>
    </xf>
    <xf numFmtId="0" fontId="2" fillId="0" borderId="8" xfId="0" applyFont="1" applyFill="1" applyBorder="1" applyAlignment="1" applyProtection="1">
      <alignment vertical="center" wrapText="1"/>
    </xf>
    <xf numFmtId="0" fontId="1" fillId="0" borderId="11" xfId="0" applyFont="1" applyFill="1" applyBorder="1" applyAlignment="1" applyProtection="1">
      <alignment vertical="center"/>
    </xf>
    <xf numFmtId="0" fontId="1" fillId="0" borderId="32" xfId="0" applyFont="1" applyBorder="1" applyAlignment="1" applyProtection="1"/>
    <xf numFmtId="0" fontId="1" fillId="0" borderId="0" xfId="0" applyFont="1" applyFill="1" applyBorder="1" applyAlignment="1" applyProtection="1">
      <alignment vertical="top" wrapText="1"/>
    </xf>
    <xf numFmtId="0" fontId="1" fillId="0" borderId="0" xfId="0" applyFont="1" applyFill="1" applyBorder="1" applyAlignment="1" applyProtection="1"/>
    <xf numFmtId="0" fontId="3" fillId="0" borderId="0" xfId="0" applyFont="1" applyFill="1" applyBorder="1" applyAlignment="1" applyProtection="1">
      <alignment horizontal="center"/>
    </xf>
    <xf numFmtId="0" fontId="1" fillId="0" borderId="0" xfId="0" applyFont="1" applyFill="1" applyBorder="1" applyAlignment="1" applyProtection="1">
      <alignment horizontal="left"/>
    </xf>
    <xf numFmtId="0" fontId="2" fillId="0" borderId="0" xfId="0" applyFont="1" applyFill="1" applyBorder="1" applyAlignment="1" applyProtection="1">
      <alignment vertical="center" wrapText="1"/>
    </xf>
    <xf numFmtId="0" fontId="1" fillId="0" borderId="0" xfId="0" applyFont="1" applyBorder="1" applyAlignment="1" applyProtection="1">
      <alignment horizontal="left" vertical="top"/>
    </xf>
    <xf numFmtId="0" fontId="0" fillId="0" borderId="0" xfId="0" applyAlignment="1">
      <alignment vertical="center"/>
    </xf>
    <xf numFmtId="0" fontId="1" fillId="0" borderId="0" xfId="0" applyFont="1" applyBorder="1" applyProtection="1">
      <protection locked="0"/>
    </xf>
    <xf numFmtId="0" fontId="1" fillId="0" borderId="0" xfId="0" applyFont="1" applyBorder="1" applyAlignment="1" applyProtection="1">
      <alignment wrapText="1"/>
      <protection locked="0"/>
    </xf>
    <xf numFmtId="0" fontId="17" fillId="0" borderId="0" xfId="0" applyFont="1" applyAlignment="1">
      <alignment horizontal="left" vertical="center"/>
    </xf>
    <xf numFmtId="0" fontId="17" fillId="4" borderId="5" xfId="0" applyFont="1" applyFill="1" applyBorder="1" applyAlignment="1">
      <alignment horizontal="left" vertical="center"/>
    </xf>
    <xf numFmtId="0" fontId="17" fillId="3" borderId="0" xfId="0" applyFont="1" applyFill="1" applyAlignment="1">
      <alignment horizontal="left" vertical="center"/>
    </xf>
    <xf numFmtId="0" fontId="17" fillId="0" borderId="0" xfId="0" applyFont="1" applyAlignment="1">
      <alignment vertical="center"/>
    </xf>
    <xf numFmtId="0" fontId="17" fillId="3" borderId="5" xfId="0" applyFont="1" applyFill="1" applyBorder="1" applyAlignment="1">
      <alignment horizontal="left" vertical="center"/>
    </xf>
    <xf numFmtId="0" fontId="17" fillId="3" borderId="0" xfId="0" applyFont="1" applyFill="1" applyBorder="1" applyAlignment="1">
      <alignment horizontal="left" vertical="center"/>
    </xf>
    <xf numFmtId="0" fontId="1" fillId="18" borderId="0" xfId="0" applyFont="1" applyFill="1" applyAlignment="1" applyProtection="1"/>
    <xf numFmtId="0" fontId="0" fillId="0" borderId="0" xfId="0" applyAlignment="1">
      <alignment horizontal="left" vertical="center"/>
    </xf>
    <xf numFmtId="0" fontId="0" fillId="0" borderId="0" xfId="0" applyFont="1" applyAlignment="1">
      <alignment horizontal="center" vertical="center"/>
    </xf>
    <xf numFmtId="0" fontId="18" fillId="0" borderId="0" xfId="0" applyFont="1" applyAlignment="1">
      <alignment horizontal="left" vertical="center"/>
    </xf>
    <xf numFmtId="0" fontId="2" fillId="2" borderId="10" xfId="0" applyFont="1" applyFill="1" applyBorder="1" applyAlignment="1" applyProtection="1">
      <alignment horizontal="center" vertical="center" wrapText="1"/>
    </xf>
    <xf numFmtId="0" fontId="19" fillId="3" borderId="5" xfId="0" applyFont="1" applyFill="1" applyBorder="1" applyAlignment="1">
      <alignment horizontal="left" vertical="center"/>
    </xf>
    <xf numFmtId="0" fontId="19" fillId="3" borderId="15" xfId="0" applyFont="1" applyFill="1" applyBorder="1" applyAlignment="1">
      <alignment horizontal="left" vertical="center"/>
    </xf>
    <xf numFmtId="0" fontId="19" fillId="4" borderId="5" xfId="0" applyFont="1" applyFill="1" applyBorder="1" applyAlignment="1">
      <alignment horizontal="left" vertical="center"/>
    </xf>
    <xf numFmtId="0" fontId="2" fillId="2" borderId="10" xfId="0" applyFont="1" applyFill="1" applyBorder="1" applyAlignment="1" applyProtection="1">
      <alignment horizontal="center" vertical="center" wrapText="1"/>
    </xf>
    <xf numFmtId="0" fontId="1" fillId="0" borderId="0" xfId="0" applyFont="1" applyAlignment="1">
      <alignment horizontal="center" vertical="center"/>
    </xf>
    <xf numFmtId="0" fontId="21" fillId="0" borderId="0" xfId="0" applyFont="1" applyAlignment="1">
      <alignment horizontal="left" vertical="center"/>
    </xf>
    <xf numFmtId="0" fontId="21" fillId="3" borderId="5" xfId="0" applyFont="1" applyFill="1" applyBorder="1" applyAlignment="1">
      <alignment horizontal="left" vertical="center"/>
    </xf>
    <xf numFmtId="170" fontId="22" fillId="14" borderId="0" xfId="4" applyFont="1" applyFill="1" applyBorder="1" applyAlignment="1" applyProtection="1">
      <alignment vertical="center" wrapText="1"/>
    </xf>
    <xf numFmtId="3" fontId="21" fillId="0" borderId="0" xfId="0" applyNumberFormat="1" applyFont="1" applyAlignment="1">
      <alignment vertical="center"/>
    </xf>
    <xf numFmtId="3" fontId="21" fillId="0" borderId="0" xfId="0" applyNumberFormat="1" applyFont="1" applyFill="1" applyAlignment="1">
      <alignment vertical="center"/>
    </xf>
    <xf numFmtId="0" fontId="23" fillId="3" borderId="5" xfId="0" applyFont="1" applyFill="1" applyBorder="1" applyAlignment="1">
      <alignment horizontal="left" vertical="center"/>
    </xf>
    <xf numFmtId="0" fontId="2" fillId="2" borderId="8" xfId="0" applyFont="1" applyFill="1" applyBorder="1" applyAlignment="1" applyProtection="1">
      <alignment horizontal="center" vertical="center" wrapText="1"/>
    </xf>
    <xf numFmtId="0" fontId="2" fillId="2" borderId="9" xfId="0" applyFont="1" applyFill="1" applyBorder="1" applyAlignment="1" applyProtection="1">
      <alignment horizontal="center" vertical="center" wrapText="1"/>
    </xf>
    <xf numFmtId="0" fontId="1" fillId="15" borderId="3" xfId="0" applyFont="1" applyFill="1" applyBorder="1" applyAlignment="1" applyProtection="1">
      <alignment horizontal="center" vertical="top"/>
      <protection locked="0"/>
    </xf>
    <xf numFmtId="0" fontId="1" fillId="15" borderId="1" xfId="0" applyFont="1" applyFill="1" applyBorder="1" applyAlignment="1" applyProtection="1">
      <alignment horizontal="center" vertical="top"/>
      <protection locked="0"/>
    </xf>
    <xf numFmtId="3" fontId="7" fillId="11" borderId="0" xfId="0" applyNumberFormat="1" applyFont="1" applyFill="1" applyAlignment="1">
      <alignment horizontal="center" vertical="center"/>
    </xf>
    <xf numFmtId="0" fontId="1" fillId="3" borderId="20" xfId="0" applyFont="1" applyFill="1" applyBorder="1" applyAlignment="1" applyProtection="1">
      <alignment horizontal="center" vertical="top"/>
    </xf>
    <xf numFmtId="0" fontId="1" fillId="3" borderId="12" xfId="0" applyFont="1" applyFill="1" applyBorder="1" applyAlignment="1" applyProtection="1">
      <alignment horizontal="center" vertical="top"/>
    </xf>
    <xf numFmtId="0" fontId="1" fillId="3" borderId="3" xfId="0" applyFont="1" applyFill="1" applyBorder="1" applyAlignment="1" applyProtection="1">
      <alignment horizontal="left" vertical="center" wrapText="1"/>
    </xf>
    <xf numFmtId="0" fontId="1" fillId="3" borderId="0" xfId="0" applyFont="1" applyFill="1" applyBorder="1" applyAlignment="1" applyProtection="1">
      <alignment horizontal="left" vertical="center" wrapText="1"/>
    </xf>
    <xf numFmtId="0" fontId="2" fillId="2" borderId="3" xfId="0" applyFont="1" applyFill="1" applyBorder="1" applyAlignment="1" applyProtection="1">
      <alignment horizontal="center" vertical="center" wrapText="1"/>
    </xf>
    <xf numFmtId="0" fontId="2" fillId="2" borderId="0" xfId="0" applyFont="1" applyFill="1" applyBorder="1" applyAlignment="1" applyProtection="1">
      <alignment horizontal="center" vertical="center" wrapText="1"/>
    </xf>
    <xf numFmtId="0" fontId="1" fillId="3" borderId="20" xfId="0" applyFont="1" applyFill="1" applyBorder="1" applyAlignment="1" applyProtection="1">
      <alignment horizontal="left" vertical="center"/>
    </xf>
    <xf numFmtId="0" fontId="1" fillId="3" borderId="12" xfId="0" applyFont="1" applyFill="1" applyBorder="1" applyAlignment="1" applyProtection="1">
      <alignment horizontal="left" vertical="center"/>
    </xf>
    <xf numFmtId="0" fontId="2" fillId="2" borderId="10" xfId="0" applyFont="1" applyFill="1" applyBorder="1" applyAlignment="1" applyProtection="1">
      <alignment horizontal="center" vertical="center" wrapText="1"/>
    </xf>
    <xf numFmtId="0" fontId="1" fillId="3" borderId="11" xfId="0" applyFont="1" applyFill="1" applyBorder="1" applyAlignment="1" applyProtection="1">
      <alignment horizontal="center" vertical="top"/>
    </xf>
    <xf numFmtId="0" fontId="2" fillId="2" borderId="9" xfId="0" applyFont="1" applyFill="1" applyBorder="1" applyAlignment="1" applyProtection="1">
      <alignment horizontal="center" wrapText="1"/>
    </xf>
    <xf numFmtId="0" fontId="2" fillId="2" borderId="18" xfId="0" applyFont="1" applyFill="1" applyBorder="1" applyAlignment="1" applyProtection="1">
      <alignment horizontal="center" wrapText="1"/>
    </xf>
    <xf numFmtId="3" fontId="1" fillId="3" borderId="16" xfId="0" applyNumberFormat="1" applyFont="1" applyFill="1" applyBorder="1" applyAlignment="1" applyProtection="1">
      <alignment horizontal="center" vertical="center"/>
    </xf>
    <xf numFmtId="0" fontId="1" fillId="3" borderId="16" xfId="0" applyFont="1" applyFill="1" applyBorder="1" applyAlignment="1" applyProtection="1">
      <alignment horizontal="center" vertical="center"/>
    </xf>
    <xf numFmtId="0" fontId="1" fillId="0" borderId="0" xfId="0" applyFont="1" applyBorder="1" applyAlignment="1" applyProtection="1">
      <alignment horizontal="left" vertical="top" wrapText="1"/>
    </xf>
    <xf numFmtId="0" fontId="1" fillId="6" borderId="11" xfId="0" applyFont="1" applyFill="1" applyBorder="1" applyAlignment="1" applyProtection="1">
      <alignment horizontal="center" vertical="center"/>
    </xf>
    <xf numFmtId="0" fontId="1" fillId="6" borderId="12" xfId="0" applyFont="1" applyFill="1" applyBorder="1" applyAlignment="1" applyProtection="1">
      <alignment horizontal="center" vertical="center"/>
    </xf>
    <xf numFmtId="0" fontId="2" fillId="2" borderId="8" xfId="0" applyFont="1" applyFill="1" applyBorder="1" applyAlignment="1" applyProtection="1">
      <alignment horizontal="center" wrapText="1"/>
    </xf>
    <xf numFmtId="170" fontId="1" fillId="3" borderId="3" xfId="0" applyNumberFormat="1" applyFont="1" applyFill="1" applyBorder="1" applyAlignment="1" applyProtection="1">
      <alignment horizontal="left" vertical="center"/>
    </xf>
    <xf numFmtId="170" fontId="1" fillId="3" borderId="0" xfId="0" applyNumberFormat="1" applyFont="1" applyFill="1" applyBorder="1" applyAlignment="1" applyProtection="1">
      <alignment horizontal="left" vertical="center"/>
    </xf>
    <xf numFmtId="0" fontId="2" fillId="2" borderId="18" xfId="0" applyFont="1" applyFill="1" applyBorder="1" applyAlignment="1" applyProtection="1">
      <alignment horizontal="center" vertical="center" wrapText="1"/>
    </xf>
    <xf numFmtId="0" fontId="1" fillId="3" borderId="24" xfId="0" applyFont="1" applyFill="1" applyBorder="1" applyAlignment="1" applyProtection="1">
      <alignment horizontal="center" vertical="top"/>
    </xf>
    <xf numFmtId="0" fontId="2" fillId="9" borderId="8" xfId="0" applyFont="1" applyFill="1" applyBorder="1" applyAlignment="1" applyProtection="1">
      <alignment horizontal="center" wrapText="1"/>
    </xf>
    <xf numFmtId="0" fontId="2" fillId="9" borderId="9" xfId="0" applyFont="1" applyFill="1" applyBorder="1" applyAlignment="1" applyProtection="1">
      <alignment horizontal="center" wrapText="1"/>
    </xf>
    <xf numFmtId="0" fontId="1" fillId="10" borderId="0" xfId="0" applyFont="1" applyFill="1" applyBorder="1" applyAlignment="1" applyProtection="1">
      <alignment horizontal="center" vertical="top"/>
    </xf>
    <xf numFmtId="0" fontId="1" fillId="10" borderId="1" xfId="0" applyFont="1" applyFill="1" applyBorder="1" applyAlignment="1" applyProtection="1">
      <alignment horizontal="center" vertical="top"/>
    </xf>
    <xf numFmtId="0" fontId="2" fillId="9" borderId="10" xfId="0" applyFont="1" applyFill="1" applyBorder="1" applyAlignment="1" applyProtection="1">
      <alignment horizontal="center" vertical="center" wrapText="1"/>
    </xf>
    <xf numFmtId="0" fontId="2" fillId="9" borderId="8" xfId="0" applyFont="1" applyFill="1" applyBorder="1" applyAlignment="1" applyProtection="1">
      <alignment horizontal="center" vertical="center" wrapText="1"/>
    </xf>
    <xf numFmtId="0" fontId="2" fillId="9" borderId="9" xfId="0" applyFont="1" applyFill="1" applyBorder="1" applyAlignment="1" applyProtection="1">
      <alignment horizontal="center" vertical="center" wrapText="1"/>
    </xf>
    <xf numFmtId="0" fontId="1" fillId="10" borderId="3" xfId="0" applyFont="1" applyFill="1" applyBorder="1" applyAlignment="1" applyProtection="1">
      <alignment horizontal="center" vertical="center"/>
    </xf>
    <xf numFmtId="0" fontId="1" fillId="10" borderId="0" xfId="0" applyFont="1" applyFill="1" applyBorder="1" applyAlignment="1" applyProtection="1">
      <alignment horizontal="center" vertical="center"/>
    </xf>
    <xf numFmtId="0" fontId="1" fillId="10" borderId="1" xfId="0" applyFont="1" applyFill="1" applyBorder="1" applyAlignment="1" applyProtection="1">
      <alignment horizontal="center" vertical="center"/>
    </xf>
    <xf numFmtId="0" fontId="1" fillId="10" borderId="11" xfId="0" applyFont="1" applyFill="1" applyBorder="1" applyAlignment="1" applyProtection="1">
      <alignment horizontal="left" vertical="center"/>
    </xf>
    <xf numFmtId="0" fontId="1" fillId="10" borderId="20" xfId="0" applyFont="1" applyFill="1" applyBorder="1" applyAlignment="1" applyProtection="1">
      <alignment horizontal="left" vertical="center"/>
    </xf>
    <xf numFmtId="170" fontId="1" fillId="3" borderId="3" xfId="0" applyNumberFormat="1" applyFont="1" applyFill="1" applyBorder="1" applyAlignment="1" applyProtection="1">
      <alignment horizontal="center" vertical="center"/>
    </xf>
    <xf numFmtId="170" fontId="1" fillId="3" borderId="0" xfId="0" applyNumberFormat="1" applyFont="1" applyFill="1" applyBorder="1" applyAlignment="1" applyProtection="1">
      <alignment horizontal="center" vertical="center"/>
    </xf>
  </cellXfs>
  <cellStyles count="8">
    <cellStyle name="CategoryHead" xfId="4"/>
    <cellStyle name="Comma" xfId="7" builtinId="3"/>
    <cellStyle name="Currency" xfId="1" builtinId="4"/>
    <cellStyle name="Fixed" xfId="3"/>
    <cellStyle name="InputCell" xfId="2"/>
    <cellStyle name="Normal" xfId="0" builtinId="0"/>
    <cellStyle name="Normal 2" xfId="6"/>
    <cellStyle name="SubTotal" xfId="5"/>
  </cellStyles>
  <dxfs count="552">
    <dxf>
      <font>
        <b val="0"/>
        <i val="0"/>
        <strike val="0"/>
        <condense val="0"/>
        <extend val="0"/>
        <outline val="0"/>
        <shadow val="0"/>
        <u val="none"/>
        <vertAlign val="baseline"/>
        <sz val="10"/>
        <color theme="1"/>
        <name val="Arial"/>
        <scheme val="none"/>
      </font>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alignment horizontal="general" vertical="center" textRotation="0" wrapText="0" relativeIndent="0" justifyLastLine="0" shrinkToFit="0" readingOrder="0"/>
    </dxf>
    <dxf>
      <font>
        <strike val="0"/>
        <outline val="0"/>
        <shadow val="0"/>
        <u val="none"/>
        <sz val="10"/>
        <name val="Arial"/>
        <scheme val="none"/>
      </font>
    </dxf>
    <dxf>
      <font>
        <strike val="0"/>
        <outline val="0"/>
        <shadow val="0"/>
        <u val="none"/>
        <sz val="10"/>
        <name val="Arial"/>
        <scheme val="none"/>
      </font>
      <alignment textRotation="0" wrapText="0" relativeIndent="0" justifyLastLine="0" shrinkToFit="0" readingOrder="0"/>
    </dxf>
    <dxf>
      <font>
        <strike val="0"/>
        <outline val="0"/>
        <shadow val="0"/>
        <u val="none"/>
        <sz val="10"/>
        <name val="Arial"/>
        <scheme val="none"/>
      </font>
      <alignment horizontal="general" vertical="center" textRotation="0" wrapText="0" relative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top" textRotation="0" wrapText="0" relative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top" textRotation="0" wrapText="0" relativeIndent="0" justifyLastLine="0" shrinkToFit="0" readingOrder="0"/>
    </dxf>
    <dxf>
      <font>
        <strike val="0"/>
        <outline val="0"/>
        <shadow val="0"/>
        <u val="none"/>
        <sz val="10"/>
        <name val="Arial"/>
        <scheme val="none"/>
      </font>
      <alignment horizontal="general" vertical="center" textRotation="0" wrapText="0" relativeIndent="0" justifyLastLine="0" shrinkToFit="0" readingOrder="0"/>
    </dxf>
    <dxf>
      <font>
        <strike val="0"/>
        <outline val="0"/>
        <shadow val="0"/>
        <u val="none"/>
        <sz val="10"/>
        <name val="Arial"/>
        <scheme val="none"/>
      </font>
      <alignment horizontal="general" vertical="center" textRotation="0" wrapText="0" relativeIndent="0" justifyLastLine="0" shrinkToFit="0" readingOrder="0"/>
    </dxf>
    <dxf>
      <font>
        <strike val="0"/>
        <outline val="0"/>
        <shadow val="0"/>
        <u val="none"/>
        <sz val="10"/>
        <name val="Arial"/>
        <scheme val="none"/>
      </font>
      <alignment horizontal="general" vertical="center" textRotation="0" wrapText="0" relativeIndent="0" justifyLastLine="0" shrinkToFit="0" readingOrder="0"/>
    </dxf>
    <dxf>
      <font>
        <strike val="0"/>
        <outline val="0"/>
        <shadow val="0"/>
        <u val="none"/>
        <sz val="10"/>
        <name val="Arial"/>
        <scheme val="none"/>
      </font>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dxf>
    <dxf>
      <font>
        <strike val="0"/>
        <outline val="0"/>
        <shadow val="0"/>
        <u val="none"/>
        <sz val="10"/>
        <name val="Arial"/>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scheme val="none"/>
      </font>
      <alignment horizontal="left" vertical="center" textRotation="0" wrapText="0" indent="0" justifyLastLine="0" shrinkToFit="0" readingOrder="0"/>
    </dxf>
    <dxf>
      <font>
        <strike val="0"/>
        <outline val="0"/>
        <shadow val="0"/>
        <u val="none"/>
        <sz val="10"/>
        <name val="Arial"/>
        <scheme val="none"/>
      </font>
      <alignment horizontal="general" vertical="center" textRotation="0" wrapText="0" relative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vertical="center" textRotation="0" wrapText="0" indent="0" justifyLastLine="0" shrinkToFit="0" readingOrder="0"/>
    </dxf>
    <dxf>
      <font>
        <strike val="0"/>
        <outline val="0"/>
        <shadow val="0"/>
        <u val="none"/>
        <sz val="10"/>
        <name val="Arial"/>
        <scheme val="none"/>
      </font>
      <alignment vertical="center" textRotation="0" wrapText="0" indent="0" justifyLastLine="0" shrinkToFit="0" readingOrder="0"/>
    </dxf>
    <dxf>
      <font>
        <strike val="0"/>
        <outline val="0"/>
        <shadow val="0"/>
        <u val="none"/>
        <sz val="10"/>
        <name val="Arial"/>
        <scheme val="none"/>
      </font>
      <alignment vertical="center" textRotation="0" wrapText="0" indent="0" justifyLastLine="0" shrinkToFit="0" readingOrder="0"/>
    </dxf>
    <dxf>
      <numFmt numFmtId="3" formatCode="#,##0"/>
      <fill>
        <patternFill patternType="none">
          <fgColor indexed="64"/>
          <bgColor indexed="65"/>
        </patternFill>
      </fill>
    </dxf>
    <dxf>
      <numFmt numFmtId="3" formatCode="#,##0"/>
      <fill>
        <patternFill patternType="none">
          <fgColor indexed="64"/>
          <bgColor indexed="65"/>
        </patternFill>
      </fill>
    </dxf>
    <dxf>
      <numFmt numFmtId="3" formatCode="#,##0"/>
      <fill>
        <patternFill patternType="none">
          <fgColor indexed="64"/>
          <bgColor indexed="65"/>
        </patternFill>
      </fill>
    </dxf>
    <dxf>
      <numFmt numFmtId="3" formatCode="#,##0"/>
      <fill>
        <patternFill patternType="none">
          <fgColor indexed="64"/>
          <bgColor indexed="65"/>
        </patternFill>
      </fill>
    </dxf>
    <dxf>
      <numFmt numFmtId="3" formatCode="#,##0"/>
      <fill>
        <patternFill patternType="none">
          <fgColor indexed="64"/>
          <bgColor indexed="65"/>
        </patternFill>
      </fill>
    </dxf>
    <dxf>
      <numFmt numFmtId="3" formatCode="#,##0"/>
      <fill>
        <patternFill patternType="none">
          <fgColor indexed="64"/>
          <bgColor indexed="65"/>
        </patternFill>
      </fill>
    </dxf>
    <dxf>
      <numFmt numFmtId="3" formatCode="#,##0"/>
      <fill>
        <patternFill patternType="none">
          <fgColor indexed="64"/>
          <bgColor indexed="65"/>
        </patternFill>
      </fill>
    </dxf>
    <dxf>
      <numFmt numFmtId="3" formatCode="#,##0"/>
      <fill>
        <patternFill patternType="none">
          <fgColor indexed="64"/>
          <bgColor indexed="65"/>
        </patternFill>
      </fill>
    </dxf>
    <dxf>
      <numFmt numFmtId="3" formatCode="#,##0"/>
      <fill>
        <patternFill patternType="none">
          <fgColor indexed="64"/>
          <bgColor indexed="65"/>
        </patternFill>
      </fill>
    </dxf>
    <dxf>
      <numFmt numFmtId="3" formatCode="#,##0"/>
      <fill>
        <patternFill patternType="none">
          <fgColor indexed="64"/>
          <bgColor indexed="65"/>
        </patternFill>
      </fill>
    </dxf>
    <dxf>
      <numFmt numFmtId="3" formatCode="#,##0"/>
      <fill>
        <patternFill patternType="none">
          <fgColor indexed="64"/>
          <bgColor indexed="65"/>
        </patternFill>
      </fill>
    </dxf>
    <dxf>
      <numFmt numFmtId="3" formatCode="#,##0"/>
      <fill>
        <patternFill patternType="none">
          <fgColor indexed="64"/>
          <bgColor indexed="65"/>
        </patternFill>
      </fill>
      <border diagonalUp="0" diagonalDown="0" outline="0">
        <left style="thin">
          <color theme="0"/>
        </left>
        <right/>
        <top/>
        <bottom/>
      </border>
    </dxf>
    <dxf>
      <font>
        <b/>
        <i val="0"/>
        <strike val="0"/>
        <condense val="0"/>
        <extend val="0"/>
        <outline val="0"/>
        <shadow val="0"/>
        <u val="none"/>
        <vertAlign val="baseline"/>
        <sz val="10"/>
        <color theme="0"/>
        <name val="Arial"/>
        <scheme val="none"/>
      </font>
      <fill>
        <patternFill patternType="solid">
          <fgColor indexed="64"/>
          <bgColor theme="5"/>
        </patternFill>
      </fill>
    </dxf>
    <dxf>
      <font>
        <b val="0"/>
        <strike val="0"/>
        <outline val="0"/>
        <shadow val="0"/>
        <u val="none"/>
        <vertAlign val="baseline"/>
        <sz val="10"/>
        <color theme="0"/>
        <name val="Arial"/>
        <scheme val="none"/>
      </font>
      <fill>
        <patternFill patternType="none">
          <fgColor indexed="64"/>
          <bgColor indexed="65"/>
        </patternFill>
      </fill>
    </dxf>
    <dxf>
      <border outline="0">
        <left style="thin">
          <color theme="0"/>
        </left>
      </border>
    </dxf>
    <dxf>
      <font>
        <b val="0"/>
        <i val="0"/>
        <strike val="0"/>
        <condense val="0"/>
        <extend val="0"/>
        <outline val="0"/>
        <shadow val="0"/>
        <u val="none"/>
        <vertAlign val="baseline"/>
        <sz val="10"/>
        <color theme="1"/>
        <name val="Arial"/>
        <scheme val="none"/>
      </font>
      <fill>
        <patternFill patternType="solid">
          <fgColor theme="4" tint="0.79998168889431442"/>
          <bgColor theme="4" tint="0.79998168889431442"/>
        </patternFill>
      </fill>
      <alignment textRotation="0" relativeIndent="0" justifyLastLine="0" shrinkToFit="0" readingOrder="0"/>
    </dxf>
    <dxf>
      <border outline="0">
        <bottom style="thick">
          <color theme="0"/>
        </bottom>
      </border>
    </dxf>
    <dxf>
      <font>
        <b/>
        <i val="0"/>
        <strike val="0"/>
        <condense val="0"/>
        <extend val="0"/>
        <outline val="0"/>
        <shadow val="0"/>
        <u val="none"/>
        <vertAlign val="baseline"/>
        <sz val="10"/>
        <color theme="0"/>
        <name val="Arial"/>
        <scheme val="none"/>
      </font>
      <fill>
        <patternFill patternType="solid">
          <fgColor theme="4"/>
          <bgColor theme="4"/>
        </patternFill>
      </fill>
      <alignment horizontal="center" vertical="center" textRotation="0" wrapText="1" relativeIndent="0" justifyLastLine="0" shrinkToFit="0" readingOrder="0"/>
    </dxf>
    <dxf>
      <font>
        <b val="0"/>
        <i val="0"/>
        <strike val="0"/>
        <condense val="0"/>
        <extend val="0"/>
        <outline val="0"/>
        <shadow val="0"/>
        <u val="none"/>
        <vertAlign val="baseline"/>
        <sz val="10"/>
        <color theme="1"/>
        <name val="Arial"/>
        <scheme val="none"/>
      </font>
      <numFmt numFmtId="3" formatCode="#,##0"/>
    </dxf>
    <dxf>
      <font>
        <strike val="0"/>
        <outline val="0"/>
        <shadow val="0"/>
        <u val="none"/>
        <vertAlign val="baseline"/>
        <sz val="10"/>
        <name val="Arial"/>
        <scheme val="none"/>
      </font>
      <numFmt numFmtId="3" formatCode="#,##0"/>
    </dxf>
    <dxf>
      <font>
        <b val="0"/>
        <i val="0"/>
        <strike val="0"/>
        <condense val="0"/>
        <extend val="0"/>
        <outline val="0"/>
        <shadow val="0"/>
        <u val="none"/>
        <vertAlign val="baseline"/>
        <sz val="10"/>
        <color theme="1"/>
        <name val="Arial"/>
        <scheme val="none"/>
      </font>
      <numFmt numFmtId="3" formatCode="#,##0"/>
    </dxf>
    <dxf>
      <font>
        <strike val="0"/>
        <outline val="0"/>
        <shadow val="0"/>
        <u val="none"/>
        <vertAlign val="baseline"/>
        <sz val="10"/>
        <name val="Arial"/>
        <scheme val="none"/>
      </font>
      <numFmt numFmtId="3" formatCode="#,##0"/>
    </dxf>
    <dxf>
      <font>
        <b val="0"/>
        <i val="0"/>
        <strike val="0"/>
        <condense val="0"/>
        <extend val="0"/>
        <outline val="0"/>
        <shadow val="0"/>
        <u val="none"/>
        <vertAlign val="baseline"/>
        <sz val="10"/>
        <color theme="1"/>
        <name val="Arial"/>
        <scheme val="none"/>
      </font>
      <numFmt numFmtId="3" formatCode="#,##0"/>
    </dxf>
    <dxf>
      <font>
        <strike val="0"/>
        <outline val="0"/>
        <shadow val="0"/>
        <u val="none"/>
        <vertAlign val="baseline"/>
        <sz val="10"/>
        <name val="Arial"/>
        <scheme val="none"/>
      </font>
      <numFmt numFmtId="3" formatCode="#,##0"/>
    </dxf>
    <dxf>
      <font>
        <b val="0"/>
        <i val="0"/>
        <strike val="0"/>
        <condense val="0"/>
        <extend val="0"/>
        <outline val="0"/>
        <shadow val="0"/>
        <u val="none"/>
        <vertAlign val="baseline"/>
        <sz val="10"/>
        <color theme="1"/>
        <name val="Arial"/>
        <scheme val="none"/>
      </font>
      <numFmt numFmtId="3" formatCode="#,##0"/>
    </dxf>
    <dxf>
      <font>
        <strike val="0"/>
        <outline val="0"/>
        <shadow val="0"/>
        <u val="none"/>
        <vertAlign val="baseline"/>
        <sz val="10"/>
        <name val="Arial"/>
        <scheme val="none"/>
      </font>
      <numFmt numFmtId="3" formatCode="#,##0"/>
    </dxf>
    <dxf>
      <font>
        <b val="0"/>
        <i val="0"/>
        <strike val="0"/>
        <condense val="0"/>
        <extend val="0"/>
        <outline val="0"/>
        <shadow val="0"/>
        <u val="none"/>
        <vertAlign val="baseline"/>
        <sz val="10"/>
        <color theme="1"/>
        <name val="Arial"/>
        <scheme val="none"/>
      </font>
      <numFmt numFmtId="3" formatCode="#,##0"/>
    </dxf>
    <dxf>
      <font>
        <strike val="0"/>
        <outline val="0"/>
        <shadow val="0"/>
        <u val="none"/>
        <vertAlign val="baseline"/>
        <sz val="10"/>
        <name val="Arial"/>
        <scheme val="none"/>
      </font>
      <numFmt numFmtId="3" formatCode="#,##0"/>
    </dxf>
    <dxf>
      <font>
        <b val="0"/>
        <i val="0"/>
        <strike val="0"/>
        <condense val="0"/>
        <extend val="0"/>
        <outline val="0"/>
        <shadow val="0"/>
        <u val="none"/>
        <vertAlign val="baseline"/>
        <sz val="10"/>
        <color theme="1"/>
        <name val="Arial"/>
        <scheme val="none"/>
      </font>
      <numFmt numFmtId="3" formatCode="#,##0"/>
    </dxf>
    <dxf>
      <font>
        <strike val="0"/>
        <outline val="0"/>
        <shadow val="0"/>
        <u val="none"/>
        <vertAlign val="baseline"/>
        <sz val="10"/>
        <name val="Arial"/>
        <scheme val="none"/>
      </font>
      <numFmt numFmtId="3" formatCode="#,##0"/>
    </dxf>
    <dxf>
      <font>
        <b val="0"/>
        <i val="0"/>
        <strike val="0"/>
        <condense val="0"/>
        <extend val="0"/>
        <outline val="0"/>
        <shadow val="0"/>
        <u val="none"/>
        <vertAlign val="baseline"/>
        <sz val="10"/>
        <color theme="1"/>
        <name val="Arial"/>
        <scheme val="none"/>
      </font>
      <numFmt numFmtId="3" formatCode="#,##0"/>
    </dxf>
    <dxf>
      <font>
        <strike val="0"/>
        <outline val="0"/>
        <shadow val="0"/>
        <u val="none"/>
        <vertAlign val="baseline"/>
        <sz val="10"/>
        <name val="Arial"/>
        <scheme val="none"/>
      </font>
      <numFmt numFmtId="3" formatCode="#,##0"/>
    </dxf>
    <dxf>
      <font>
        <b val="0"/>
        <i val="0"/>
        <strike val="0"/>
        <condense val="0"/>
        <extend val="0"/>
        <outline val="0"/>
        <shadow val="0"/>
        <u val="none"/>
        <vertAlign val="baseline"/>
        <sz val="10"/>
        <color theme="1"/>
        <name val="Arial"/>
        <scheme val="none"/>
      </font>
      <numFmt numFmtId="3" formatCode="#,##0"/>
    </dxf>
    <dxf>
      <font>
        <strike val="0"/>
        <outline val="0"/>
        <shadow val="0"/>
        <u val="none"/>
        <vertAlign val="baseline"/>
        <sz val="10"/>
        <name val="Arial"/>
        <scheme val="none"/>
      </font>
      <numFmt numFmtId="3" formatCode="#,##0"/>
    </dxf>
    <dxf>
      <font>
        <b val="0"/>
        <i val="0"/>
        <strike val="0"/>
        <condense val="0"/>
        <extend val="0"/>
        <outline val="0"/>
        <shadow val="0"/>
        <u val="none"/>
        <vertAlign val="baseline"/>
        <sz val="10"/>
        <color theme="1"/>
        <name val="Arial"/>
        <scheme val="none"/>
      </font>
      <numFmt numFmtId="3" formatCode="#,##0"/>
    </dxf>
    <dxf>
      <font>
        <strike val="0"/>
        <outline val="0"/>
        <shadow val="0"/>
        <u val="none"/>
        <vertAlign val="baseline"/>
        <sz val="10"/>
        <name val="Arial"/>
        <scheme val="none"/>
      </font>
      <numFmt numFmtId="3" formatCode="#,##0"/>
    </dxf>
    <dxf>
      <font>
        <b val="0"/>
        <i val="0"/>
        <strike val="0"/>
        <condense val="0"/>
        <extend val="0"/>
        <outline val="0"/>
        <shadow val="0"/>
        <u val="none"/>
        <vertAlign val="baseline"/>
        <sz val="10"/>
        <color theme="1"/>
        <name val="Arial"/>
        <scheme val="none"/>
      </font>
      <numFmt numFmtId="3" formatCode="#,##0"/>
    </dxf>
    <dxf>
      <font>
        <strike val="0"/>
        <outline val="0"/>
        <shadow val="0"/>
        <u val="none"/>
        <vertAlign val="baseline"/>
        <sz val="10"/>
        <name val="Arial"/>
        <scheme val="none"/>
      </font>
      <numFmt numFmtId="3" formatCode="#,##0"/>
    </dxf>
    <dxf>
      <font>
        <b val="0"/>
        <i val="0"/>
        <strike val="0"/>
        <condense val="0"/>
        <extend val="0"/>
        <outline val="0"/>
        <shadow val="0"/>
        <u val="none"/>
        <vertAlign val="baseline"/>
        <sz val="10"/>
        <color theme="1"/>
        <name val="Arial"/>
        <scheme val="none"/>
      </font>
      <numFmt numFmtId="3" formatCode="#,##0"/>
    </dxf>
    <dxf>
      <font>
        <strike val="0"/>
        <outline val="0"/>
        <shadow val="0"/>
        <u val="none"/>
        <vertAlign val="baseline"/>
        <sz val="10"/>
        <name val="Arial"/>
        <scheme val="none"/>
      </font>
      <numFmt numFmtId="3" formatCode="#,##0"/>
    </dxf>
    <dxf>
      <font>
        <b val="0"/>
        <i val="0"/>
        <strike val="0"/>
        <condense val="0"/>
        <extend val="0"/>
        <outline val="0"/>
        <shadow val="0"/>
        <u val="none"/>
        <vertAlign val="baseline"/>
        <sz val="10"/>
        <color theme="1"/>
        <name val="Arial"/>
        <scheme val="none"/>
      </font>
      <numFmt numFmtId="3" formatCode="#,##0"/>
    </dxf>
    <dxf>
      <font>
        <strike val="0"/>
        <outline val="0"/>
        <shadow val="0"/>
        <u val="none"/>
        <vertAlign val="baseline"/>
        <sz val="10"/>
        <name val="Arial"/>
        <scheme val="none"/>
      </font>
      <numFmt numFmtId="3" formatCode="#,##0"/>
    </dxf>
    <dxf>
      <font>
        <b/>
        <i val="0"/>
        <strike val="0"/>
        <condense val="0"/>
        <extend val="0"/>
        <outline val="0"/>
        <shadow val="0"/>
        <u val="none"/>
        <vertAlign val="baseline"/>
        <sz val="10"/>
        <color theme="0"/>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dxf>
    <dxf>
      <font>
        <strike val="0"/>
        <outline val="0"/>
        <shadow val="0"/>
        <u val="none"/>
        <vertAlign val="baseline"/>
        <sz val="10"/>
        <name val="Arial"/>
        <scheme val="none"/>
      </font>
      <numFmt numFmtId="0" formatCode="General"/>
    </dxf>
    <dxf>
      <font>
        <strike val="0"/>
        <outline val="0"/>
        <shadow val="0"/>
        <u val="none"/>
        <vertAlign val="baseline"/>
        <sz val="10"/>
        <name val="Arial"/>
        <scheme val="none"/>
      </font>
      <alignment textRotation="0" indent="0" justifyLastLine="0" shrinkToFit="0" readingOrder="0"/>
    </dxf>
    <dxf>
      <font>
        <strike val="0"/>
        <outline val="0"/>
        <shadow val="0"/>
        <u val="none"/>
        <vertAlign val="baseline"/>
        <sz val="10"/>
        <name val="Arial"/>
        <scheme val="none"/>
      </font>
      <alignment horizontal="center" vertical="center" textRotation="0" wrapText="1" indent="0" justifyLastLine="0" shrinkToFit="0" readingOrder="0"/>
    </dxf>
    <dxf>
      <font>
        <b val="0"/>
        <i/>
        <color rgb="FFFF0000"/>
      </font>
    </dxf>
    <dxf>
      <font>
        <color auto="1"/>
      </font>
      <fill>
        <patternFill>
          <bgColor theme="6" tint="0.39994506668294322"/>
        </patternFill>
      </fill>
    </dxf>
    <dxf>
      <alignment textRotation="0" wrapText="1" indent="0" justifyLastLine="0" shrinkToFit="0" readingOrder="0"/>
      <protection locked="0" hidden="0"/>
    </dxf>
    <dxf>
      <alignment textRotation="0" wrapText="1" indent="0" justifyLastLine="0" shrinkToFit="0" readingOrder="0"/>
      <protection locked="0" hidden="0"/>
    </dxf>
    <dxf>
      <numFmt numFmtId="175" formatCode="yyyy\ dd\ mmm"/>
      <alignment textRotation="0" wrapText="1" indent="0" justifyLastLine="0" shrinkToFit="0" readingOrder="0"/>
      <protection locked="0" hidden="0"/>
    </dxf>
    <dxf>
      <alignment textRotation="0" wrapText="1" indent="0" justifyLastLine="0" shrinkToFit="0" readingOrder="0"/>
      <protection locked="0" hidden="0"/>
    </dxf>
    <dxf>
      <alignment textRotation="0" wrapText="1" indent="0" justifyLastLine="0" shrinkToFit="0" readingOrder="0"/>
      <protection locked="0" hidden="0"/>
    </dxf>
    <dxf>
      <alignment textRotation="0" wrapText="1" indent="0" justifyLastLine="0" shrinkToFit="0" readingOrder="0"/>
      <protection locked="0" hidden="0"/>
    </dxf>
    <dxf>
      <alignment textRotation="0" wrapText="1" indent="0" justifyLastLine="0" shrinkToFit="0" readingOrder="0"/>
      <protection locked="0" hidden="0"/>
    </dxf>
    <dxf>
      <alignment textRotation="0" wrapText="1" indent="0" justifyLastLine="0" shrinkToFit="0" readingOrder="0"/>
      <protection locked="0" hidden="0"/>
    </dxf>
    <dxf>
      <alignment textRotation="0" wrapText="1" indent="0" justifyLastLine="0" shrinkToFit="0" readingOrder="0"/>
      <protection locked="0" hidden="0"/>
    </dxf>
    <dxf>
      <alignment horizontal="center" vertical="center" textRotation="0" wrapText="1" indent="0" justifyLastLine="0" shrinkToFit="0" readingOrder="0"/>
    </dxf>
    <dxf>
      <fill>
        <patternFill>
          <bgColor rgb="FFD7E4BC"/>
        </patternFill>
      </fill>
    </dxf>
    <dxf>
      <fill>
        <patternFill>
          <bgColor rgb="FFEAF1DD"/>
        </patternFill>
      </fill>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numFmt numFmtId="3" formatCode="#,##0"/>
    </dxf>
    <dxf>
      <font>
        <b val="0"/>
        <i val="0"/>
        <strike val="0"/>
        <condense val="0"/>
        <extend val="0"/>
        <outline val="0"/>
        <shadow val="0"/>
        <u val="none"/>
        <vertAlign val="baseline"/>
        <sz val="10"/>
        <color rgb="FF000000"/>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rgb="FF000000"/>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horizontal="center" vertical="center" textRotation="0" wrapText="1" indent="0" justifyLastLine="0" shrinkToFit="0" readingOrder="0"/>
    </dxf>
    <dxf>
      <fill>
        <patternFill>
          <bgColor rgb="FFDBE5F0"/>
        </patternFill>
      </fill>
    </dxf>
    <dxf>
      <fill>
        <patternFill>
          <bgColor rgb="FFDBE5F0"/>
        </patternFill>
      </fill>
    </dxf>
    <dxf>
      <fill>
        <patternFill>
          <bgColor rgb="FFDBE5F0"/>
        </patternFill>
      </fill>
    </dxf>
    <dxf>
      <fill>
        <patternFill>
          <bgColor rgb="FFDBE5F0"/>
        </patternFill>
      </fill>
    </dxf>
    <dxf>
      <fill>
        <patternFill>
          <bgColor rgb="FFDBE5F0"/>
        </patternFill>
      </fill>
    </dxf>
    <dxf>
      <fill>
        <patternFill>
          <bgColor rgb="FFDBE5F0"/>
        </patternFill>
      </fill>
    </dxf>
    <dxf>
      <font>
        <color theme="0"/>
      </font>
      <fill>
        <patternFill>
          <bgColor theme="0"/>
        </patternFill>
      </fill>
    </dxf>
    <dxf>
      <fill>
        <patternFill>
          <bgColor rgb="FFDBE5F0"/>
        </patternFill>
      </fill>
    </dxf>
    <dxf>
      <fill>
        <patternFill>
          <bgColor rgb="FFB8CCE4"/>
        </patternFill>
      </fill>
    </dxf>
    <dxf>
      <font>
        <b/>
        <i val="0"/>
        <color theme="0"/>
      </font>
      <fill>
        <patternFill>
          <bgColor rgb="FF4E82C0"/>
        </patternFill>
      </fill>
    </dxf>
    <dxf>
      <font>
        <b/>
        <i val="0"/>
        <color theme="0"/>
      </font>
      <fill>
        <patternFill>
          <bgColor rgb="FF356095"/>
        </patternFill>
      </fill>
      <border>
        <left/>
        <right/>
      </border>
    </dxf>
    <dxf>
      <fill>
        <patternFill>
          <bgColor rgb="FFD7E4BC"/>
        </patternFill>
      </fill>
    </dxf>
    <dxf>
      <fill>
        <patternFill>
          <bgColor rgb="FFEAF1DD"/>
        </patternFill>
      </fill>
    </dxf>
    <dxf>
      <font>
        <color theme="0"/>
      </font>
      <fill>
        <patternFill>
          <bgColor theme="0"/>
        </patternFill>
      </fill>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numFmt numFmtId="3" formatCode="#,##0"/>
    </dxf>
    <dxf>
      <font>
        <b val="0"/>
        <i val="0"/>
        <strike val="0"/>
        <condense val="0"/>
        <extend val="0"/>
        <outline val="0"/>
        <shadow val="0"/>
        <u val="none"/>
        <vertAlign val="baseline"/>
        <sz val="10"/>
        <color rgb="FF000000"/>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rgb="FF000000"/>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horizontal="center" vertical="center" textRotation="0" wrapText="1" indent="0" justifyLastLine="0" shrinkToFit="0" readingOrder="0"/>
    </dxf>
    <dxf>
      <font>
        <color theme="0"/>
      </font>
      <fill>
        <patternFill>
          <bgColor theme="0"/>
        </patternFill>
      </fill>
    </dxf>
    <dxf>
      <font>
        <b/>
        <i val="0"/>
        <color theme="0"/>
      </font>
      <fill>
        <patternFill>
          <bgColor rgb="FF4E82C0"/>
        </patternFill>
      </fill>
    </dxf>
    <dxf>
      <font>
        <b/>
        <i val="0"/>
        <color theme="0"/>
      </font>
      <fill>
        <patternFill>
          <bgColor rgb="FF356095"/>
        </patternFill>
      </fill>
      <border>
        <left/>
        <right/>
      </border>
    </dxf>
    <dxf>
      <fill>
        <patternFill>
          <bgColor rgb="FFD7E4BC"/>
        </patternFill>
      </fill>
    </dxf>
    <dxf>
      <fill>
        <patternFill>
          <bgColor rgb="FFEAF1DD"/>
        </patternFill>
      </fill>
    </dxf>
    <dxf>
      <font>
        <color theme="0"/>
      </font>
      <fill>
        <patternFill>
          <bgColor theme="0"/>
        </patternFill>
      </fill>
    </dxf>
    <dxf>
      <fill>
        <patternFill>
          <bgColor rgb="FFB8CCE4"/>
        </patternFill>
      </fill>
    </dxf>
    <dxf>
      <fill>
        <patternFill>
          <bgColor rgb="FFDBE5F0"/>
        </patternFill>
      </fill>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numFmt numFmtId="3" formatCode="#,##0"/>
    </dxf>
    <dxf>
      <font>
        <b val="0"/>
        <i val="0"/>
        <strike val="0"/>
        <condense val="0"/>
        <extend val="0"/>
        <outline val="0"/>
        <shadow val="0"/>
        <u val="none"/>
        <vertAlign val="baseline"/>
        <sz val="10"/>
        <color rgb="FF000000"/>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fill>
        <patternFill patternType="none">
          <fgColor indexed="64"/>
          <bgColor indexed="65"/>
        </patternFill>
      </fill>
      <alignment horizontal="general" vertical="center" textRotation="0" wrapText="0" indent="0" justifyLastLine="0" shrinkToFit="0" readingOrder="0"/>
    </dxf>
    <dxf>
      <font>
        <strike val="0"/>
        <outline val="0"/>
        <shadow val="0"/>
        <u val="none"/>
        <vertAlign val="baseline"/>
        <sz val="10"/>
        <color theme="1"/>
        <name val="Arial"/>
        <scheme val="none"/>
      </font>
      <numFmt numFmtId="3" formatCode="#,##0"/>
      <fill>
        <patternFill patternType="none">
          <fgColor indexed="64"/>
          <bgColor indexed="65"/>
        </patternFill>
      </fill>
      <alignment horizontal="general" vertical="center" textRotation="0" wrapText="0" indent="0" justifyLastLine="0" shrinkToFit="0" readingOrder="0"/>
    </dxf>
    <dxf>
      <font>
        <strike val="0"/>
        <outline val="0"/>
        <shadow val="0"/>
        <u val="none"/>
        <vertAlign val="baseline"/>
        <sz val="10"/>
        <color theme="1"/>
        <name val="Arial"/>
        <scheme val="none"/>
      </font>
      <numFmt numFmtId="3" formatCode="#,##0"/>
      <fill>
        <patternFill patternType="none">
          <fgColor indexed="64"/>
          <bgColor indexed="65"/>
        </patternFill>
      </fill>
      <alignment horizontal="general" vertical="center" textRotation="0" wrapText="0" indent="0" justifyLastLine="0" shrinkToFit="0" readingOrder="0"/>
    </dxf>
    <dxf>
      <font>
        <strike val="0"/>
        <outline val="0"/>
        <shadow val="0"/>
        <u val="none"/>
        <vertAlign val="baseline"/>
        <sz val="10"/>
        <color theme="1"/>
        <name val="Arial"/>
        <scheme val="none"/>
      </font>
      <numFmt numFmtId="3" formatCode="#,##0"/>
      <fill>
        <patternFill patternType="none">
          <fgColor indexed="64"/>
          <bgColor indexed="65"/>
        </patternFill>
      </fill>
      <alignment horizontal="general" vertical="center" textRotation="0" wrapText="0" indent="0" justifyLastLine="0" shrinkToFit="0" readingOrder="0"/>
    </dxf>
    <dxf>
      <font>
        <strike val="0"/>
        <outline val="0"/>
        <shadow val="0"/>
        <u val="none"/>
        <vertAlign val="baseline"/>
        <sz val="10"/>
        <color theme="1"/>
        <name val="Arial"/>
        <scheme val="none"/>
      </font>
      <numFmt numFmtId="3" formatCode="#,##0"/>
      <fill>
        <patternFill patternType="none">
          <fgColor indexed="64"/>
          <bgColor indexed="65"/>
        </patternFill>
      </fill>
      <alignment horizontal="general" vertical="center" textRotation="0" wrapText="0" indent="0" justifyLastLine="0" shrinkToFit="0" readingOrder="0"/>
    </dxf>
    <dxf>
      <font>
        <strike val="0"/>
        <outline val="0"/>
        <shadow val="0"/>
        <u val="none"/>
        <vertAlign val="baseline"/>
        <sz val="10"/>
        <color theme="1"/>
        <name val="Arial"/>
        <scheme val="none"/>
      </font>
      <numFmt numFmtId="3" formatCode="#,##0"/>
      <fill>
        <patternFill patternType="none">
          <fgColor indexed="64"/>
          <bgColor indexed="65"/>
        </patternFill>
      </fill>
      <alignment horizontal="general" vertical="center" textRotation="0" wrapText="0" indent="0" justifyLastLine="0" shrinkToFit="0" readingOrder="0"/>
    </dxf>
    <dxf>
      <font>
        <strike val="0"/>
        <outline val="0"/>
        <shadow val="0"/>
        <u val="none"/>
        <vertAlign val="baseline"/>
        <sz val="10"/>
        <color theme="1"/>
        <name val="Arial"/>
        <scheme val="none"/>
      </font>
      <numFmt numFmtId="3" formatCode="#,##0"/>
      <fill>
        <patternFill patternType="none">
          <fgColor indexed="64"/>
          <bgColor indexed="65"/>
        </patternFill>
      </fill>
      <alignment horizontal="general" vertical="center" textRotation="0" wrapText="0" indent="0" justifyLastLine="0" shrinkToFit="0" readingOrder="0"/>
    </dxf>
    <dxf>
      <font>
        <strike val="0"/>
        <outline val="0"/>
        <shadow val="0"/>
        <u val="none"/>
        <vertAlign val="baseline"/>
        <sz val="10"/>
        <color rgb="FF000000"/>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horizontal="center" vertical="center" textRotation="0" wrapText="1" indent="0" justifyLastLine="0" shrinkToFit="0" readingOrder="0"/>
    </dxf>
    <dxf>
      <font>
        <color theme="0"/>
      </font>
      <fill>
        <patternFill>
          <bgColor theme="0"/>
        </patternFill>
      </fill>
    </dxf>
    <dxf>
      <fill>
        <patternFill>
          <bgColor rgb="FFB8CCE4"/>
        </patternFill>
      </fill>
    </dxf>
    <dxf>
      <fill>
        <patternFill>
          <bgColor rgb="FFDBE5F0"/>
        </patternFill>
      </fill>
    </dxf>
    <dxf>
      <font>
        <b/>
        <i val="0"/>
        <color theme="0"/>
      </font>
      <fill>
        <patternFill>
          <bgColor rgb="FF4E82C0"/>
        </patternFill>
      </fill>
    </dxf>
    <dxf>
      <font>
        <b/>
        <i val="0"/>
        <color theme="0"/>
      </font>
      <fill>
        <patternFill>
          <bgColor rgb="FF356095"/>
        </patternFill>
      </fill>
      <border>
        <left/>
        <right/>
      </border>
    </dxf>
    <dxf>
      <fill>
        <patternFill>
          <bgColor rgb="FFD7E4BC"/>
        </patternFill>
      </fill>
    </dxf>
    <dxf>
      <fill>
        <patternFill>
          <bgColor rgb="FFEAF1DD"/>
        </patternFill>
      </fill>
    </dxf>
    <dxf>
      <font>
        <color theme="0"/>
      </font>
      <fill>
        <patternFill>
          <bgColor theme="0"/>
        </patternFill>
      </fill>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numFmt numFmtId="3" formatCode="#,##0"/>
    </dxf>
    <dxf>
      <font>
        <b val="0"/>
        <i val="0"/>
        <strike val="0"/>
        <condense val="0"/>
        <extend val="0"/>
        <outline val="0"/>
        <shadow val="0"/>
        <u val="none"/>
        <vertAlign val="baseline"/>
        <sz val="10"/>
        <color rgb="FF000000"/>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rgb="FF000000"/>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horizontal="center" vertical="center" textRotation="0" wrapText="1" indent="0" justifyLastLine="0" shrinkToFit="0" readingOrder="0"/>
    </dxf>
    <dxf>
      <font>
        <color theme="0"/>
      </font>
      <fill>
        <patternFill>
          <bgColor theme="0"/>
        </patternFill>
      </fill>
    </dxf>
    <dxf>
      <font>
        <b/>
        <i val="0"/>
        <color theme="0"/>
      </font>
      <fill>
        <patternFill>
          <bgColor rgb="FF4E82C0"/>
        </patternFill>
      </fill>
    </dxf>
    <dxf>
      <font>
        <b/>
        <i val="0"/>
        <color theme="0"/>
      </font>
      <fill>
        <patternFill>
          <bgColor rgb="FF356095"/>
        </patternFill>
      </fill>
      <border>
        <left/>
        <right/>
      </border>
    </dxf>
    <dxf>
      <fill>
        <patternFill>
          <bgColor rgb="FFD7E4BC"/>
        </patternFill>
      </fill>
    </dxf>
    <dxf>
      <fill>
        <patternFill>
          <bgColor rgb="FFEAF1DD"/>
        </patternFill>
      </fill>
    </dxf>
    <dxf>
      <font>
        <color theme="0"/>
      </font>
      <fill>
        <patternFill>
          <bgColor theme="0"/>
        </patternFill>
      </fill>
    </dxf>
    <dxf>
      <font>
        <color theme="0"/>
      </font>
      <fill>
        <patternFill>
          <bgColor theme="0"/>
        </patternFill>
      </fill>
    </dxf>
    <dxf>
      <font>
        <b/>
        <i val="0"/>
        <color theme="0"/>
      </font>
      <fill>
        <patternFill>
          <bgColor rgb="FF4E82C0"/>
        </patternFill>
      </fill>
    </dxf>
    <dxf>
      <font>
        <b/>
        <i val="0"/>
        <color theme="0"/>
      </font>
      <fill>
        <patternFill>
          <bgColor rgb="FF356095"/>
        </patternFill>
      </fill>
      <border>
        <left/>
        <right/>
      </border>
    </dxf>
    <dxf>
      <fill>
        <patternFill>
          <bgColor rgb="FFD7E4BC"/>
        </patternFill>
      </fill>
    </dxf>
    <dxf>
      <fill>
        <patternFill>
          <bgColor rgb="FFEAF1DD"/>
        </patternFill>
      </fill>
    </dxf>
    <dxf>
      <font>
        <color theme="0"/>
      </font>
      <fill>
        <patternFill>
          <bgColor theme="0"/>
        </patternFill>
      </fill>
    </dxf>
    <dxf>
      <font>
        <color theme="0"/>
      </font>
      <fill>
        <patternFill>
          <bgColor theme="0"/>
        </patternFill>
      </fill>
    </dxf>
    <dxf>
      <fill>
        <patternFill>
          <bgColor rgb="FFB8CCE4"/>
        </patternFill>
      </fill>
    </dxf>
    <dxf>
      <fill>
        <patternFill>
          <bgColor rgb="FFDBE5F0"/>
        </patternFill>
      </fill>
    </dxf>
    <dxf>
      <font>
        <b/>
        <i val="0"/>
        <color theme="0"/>
      </font>
      <fill>
        <patternFill>
          <bgColor rgb="FF4E82C0"/>
        </patternFill>
      </fill>
    </dxf>
    <dxf>
      <font>
        <b/>
        <i val="0"/>
        <color theme="0"/>
      </font>
      <fill>
        <patternFill>
          <bgColor rgb="FF356095"/>
        </patternFill>
      </fill>
      <border>
        <left/>
        <right/>
      </border>
    </dxf>
    <dxf>
      <fill>
        <patternFill>
          <bgColor rgb="FFD7E4BC"/>
        </patternFill>
      </fill>
    </dxf>
    <dxf>
      <fill>
        <patternFill>
          <bgColor rgb="FFEAF1DD"/>
        </patternFill>
      </fill>
    </dxf>
    <dxf>
      <font>
        <color theme="0"/>
      </font>
      <fill>
        <patternFill>
          <bgColor theme="0"/>
        </patternFill>
      </fill>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numFmt numFmtId="3" formatCode="#,##0"/>
    </dxf>
    <dxf>
      <font>
        <b val="0"/>
        <i val="0"/>
        <strike val="0"/>
        <condense val="0"/>
        <extend val="0"/>
        <outline val="0"/>
        <shadow val="0"/>
        <u val="none"/>
        <vertAlign val="baseline"/>
        <sz val="10"/>
        <color rgb="FF000000"/>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rgb="FF000000"/>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horizontal="center" vertical="center" textRotation="0" wrapText="1" indent="0" justifyLastLine="0" shrinkToFit="0" readingOrder="0"/>
    </dxf>
    <dxf>
      <font>
        <color theme="0"/>
      </font>
      <fill>
        <patternFill>
          <bgColor theme="0"/>
        </patternFill>
      </fill>
    </dxf>
    <dxf>
      <font>
        <b/>
        <i val="0"/>
        <color theme="0"/>
      </font>
      <fill>
        <patternFill>
          <bgColor rgb="FF356095"/>
        </patternFill>
      </fill>
      <border>
        <left/>
        <right/>
      </border>
    </dxf>
    <dxf>
      <font>
        <b/>
        <i val="0"/>
        <color theme="0"/>
      </font>
      <fill>
        <patternFill>
          <bgColor rgb="FF4E82C0"/>
        </patternFill>
      </fill>
    </dxf>
    <dxf>
      <fill>
        <patternFill>
          <bgColor rgb="FFB8CCE4"/>
        </patternFill>
      </fill>
    </dxf>
    <dxf>
      <fill>
        <patternFill>
          <bgColor rgb="FFDBE5F0"/>
        </patternFill>
      </fill>
    </dxf>
    <dxf>
      <fill>
        <patternFill>
          <bgColor rgb="FFD7E4BC"/>
        </patternFill>
      </fill>
    </dxf>
    <dxf>
      <fill>
        <patternFill>
          <bgColor rgb="FFEAF1DD"/>
        </patternFill>
      </fill>
    </dxf>
    <dxf>
      <font>
        <color theme="0"/>
      </font>
      <fill>
        <patternFill>
          <bgColor theme="0"/>
        </patternFill>
      </fill>
    </dxf>
    <dxf>
      <alignment vertical="bottom" textRotation="0" indent="0" justifyLastLine="0" shrinkToFit="0" readingOrder="0"/>
      <protection locked="1" hidden="0"/>
    </dxf>
    <dxf>
      <font>
        <b val="0"/>
        <i val="0"/>
        <strike val="0"/>
        <condense val="0"/>
        <extend val="0"/>
        <outline val="0"/>
        <shadow val="0"/>
        <u val="none"/>
        <vertAlign val="baseline"/>
        <sz val="10"/>
        <color theme="1"/>
        <name val="Arial"/>
        <scheme val="none"/>
      </font>
      <numFmt numFmtId="0" formatCode="General"/>
      <alignment horizontal="general"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numFmt numFmtId="0" formatCode="General"/>
      <alignment horizontal="general" vertical="bottom" textRotation="0" indent="0" justifyLastLine="0" shrinkToFit="0" readingOrder="0"/>
      <protection locked="1" hidden="0"/>
    </dxf>
    <dxf>
      <font>
        <b val="0"/>
        <i val="0"/>
        <strike val="0"/>
        <condense val="0"/>
        <extend val="0"/>
        <outline val="0"/>
        <shadow val="0"/>
        <u val="none"/>
        <vertAlign val="baseline"/>
        <sz val="10"/>
        <color theme="1"/>
        <name val="Arial"/>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numFmt numFmtId="164" formatCode="_(* #,##0_);_(* \(#,##0\);_(* &quot;-&quot;_);_(@_)"/>
      <alignment horizontal="general" vertical="bottom" textRotation="0" indent="0" justifyLastLine="0" shrinkToFit="0" readingOrder="0"/>
      <protection locked="1" hidden="0"/>
    </dxf>
    <dxf>
      <font>
        <b val="0"/>
        <i val="0"/>
        <strike val="0"/>
        <condense val="0"/>
        <extend val="0"/>
        <outline val="0"/>
        <shadow val="0"/>
        <u val="none"/>
        <vertAlign val="baseline"/>
        <sz val="10"/>
        <color theme="1"/>
        <name val="Arial"/>
        <scheme val="none"/>
      </font>
      <numFmt numFmtId="164" formatCode="_(* #,##0_);_(* \(#,##0\);_(* &quot;-&quot;_);_(@_)"/>
      <alignment horizontal="general"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alignment horizontal="general" vertical="bottom" textRotation="0" indent="0" justifyLastLine="0" shrinkToFit="0" readingOrder="0"/>
      <protection locked="1" hidden="0"/>
    </dxf>
    <dxf>
      <font>
        <b val="0"/>
        <i val="0"/>
        <strike val="0"/>
        <condense val="0"/>
        <extend val="0"/>
        <outline val="0"/>
        <shadow val="0"/>
        <u val="none"/>
        <vertAlign val="baseline"/>
        <sz val="10"/>
        <color theme="1"/>
        <name val="Arial"/>
        <scheme val="none"/>
      </font>
      <numFmt numFmtId="164" formatCode="_(* #,##0_);_(* \(#,##0\);_(* &quot;-&quot;_);_(@_)"/>
      <alignment horizontal="general"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protection locked="1" hidden="0"/>
    </dxf>
    <dxf>
      <font>
        <b val="0"/>
        <i val="0"/>
        <strike val="0"/>
        <condense val="0"/>
        <extend val="0"/>
        <outline val="0"/>
        <shadow val="0"/>
        <u val="none"/>
        <vertAlign val="baseline"/>
        <sz val="10"/>
        <color theme="1"/>
        <name val="Arial"/>
        <scheme val="none"/>
      </font>
      <alignment horizontal="general" vertical="bottom" textRotation="0" wrapText="0" relativeIndent="0" justifyLastLine="0" shrinkToFit="0" readingOrder="0"/>
      <protection locked="1" hidden="0"/>
    </dxf>
    <dxf>
      <font>
        <b val="0"/>
        <i val="0"/>
        <strike val="0"/>
        <condense val="0"/>
        <extend val="0"/>
        <outline val="0"/>
        <shadow val="0"/>
        <u val="none"/>
        <vertAlign val="baseline"/>
        <sz val="10"/>
        <color theme="1"/>
        <name val="Arial"/>
        <scheme val="none"/>
      </font>
      <alignment horizontal="general"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numFmt numFmtId="169" formatCode="yyyy/mm/dd;@"/>
      <alignment horizontal="general" vertical="bottom" textRotation="0" wrapText="0" relativeIndent="0" justifyLastLine="0" shrinkToFit="0" readingOrder="0"/>
      <protection locked="1" hidden="0"/>
    </dxf>
    <dxf>
      <font>
        <b val="0"/>
        <i val="0"/>
        <strike val="0"/>
        <condense val="0"/>
        <extend val="0"/>
        <outline val="0"/>
        <shadow val="0"/>
        <u val="none"/>
        <vertAlign val="baseline"/>
        <sz val="10"/>
        <color theme="1"/>
        <name val="Arial"/>
        <scheme val="none"/>
      </font>
      <alignment horizontal="general" vertical="bottom" textRotation="0" wrapText="0" relativeIndent="0" justifyLastLine="0" shrinkToFit="0" readingOrder="0"/>
    </dxf>
    <dxf>
      <font>
        <b/>
        <i val="0"/>
        <strike val="0"/>
        <condense val="0"/>
        <extend val="0"/>
        <outline val="0"/>
        <shadow val="0"/>
        <u val="none"/>
        <vertAlign val="baseline"/>
        <sz val="10"/>
        <color theme="0"/>
        <name val="Arial"/>
        <scheme val="none"/>
      </font>
      <numFmt numFmtId="167" formatCode="000"/>
      <fill>
        <patternFill patternType="solid">
          <fgColor indexed="64"/>
          <bgColor theme="4"/>
        </patternFill>
      </fill>
      <alignment horizontal="general" vertical="bottom" textRotation="0" wrapText="0" indent="0" justifyLastLine="0" shrinkToFit="0" readingOrder="0"/>
      <protection locked="1" hidden="0"/>
    </dxf>
    <dxf>
      <alignment vertical="bottom" textRotation="0" indent="0" justifyLastLine="0" shrinkToFit="0" readingOrder="0"/>
      <protection locked="1" hidden="0"/>
    </dxf>
    <dxf>
      <font>
        <b val="0"/>
        <i val="0"/>
        <strike val="0"/>
        <condense val="0"/>
        <extend val="0"/>
        <outline val="0"/>
        <shadow val="0"/>
        <u val="none"/>
        <vertAlign val="baseline"/>
        <sz val="10"/>
        <color theme="1"/>
        <name val="Arial"/>
        <scheme val="none"/>
      </font>
      <alignment horizontal="general" vertical="bottom" textRotation="0" indent="0" justifyLastLine="0" shrinkToFit="0" readingOrder="0"/>
      <protection locked="1" hidden="0"/>
    </dxf>
    <dxf>
      <font>
        <b val="0"/>
        <i val="0"/>
        <strike val="0"/>
        <condense val="0"/>
        <extend val="0"/>
        <outline val="0"/>
        <shadow val="0"/>
        <u val="none"/>
        <vertAlign val="baseline"/>
        <sz val="10"/>
        <color theme="1"/>
        <name val="Arial"/>
        <scheme val="none"/>
      </font>
      <alignment horizontal="center" vertical="center" textRotation="0" wrapText="1" indent="0" justifyLastLine="0" shrinkToFit="0" readingOrder="0"/>
      <protection locked="1" hidden="0"/>
    </dxf>
    <dxf>
      <font>
        <color auto="1"/>
      </font>
      <fill>
        <patternFill>
          <bgColor theme="6" tint="0.39994506668294322"/>
        </patternFill>
      </fill>
    </dxf>
    <dxf>
      <font>
        <b val="0"/>
        <i/>
        <color rgb="FFFF0000"/>
      </font>
    </dxf>
    <dxf>
      <font>
        <color auto="1"/>
      </font>
      <fill>
        <patternFill>
          <bgColor theme="6" tint="0.39994506668294322"/>
        </patternFill>
      </fill>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numFmt numFmtId="3" formatCode="#,##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numFmt numFmtId="3" formatCode="#,##0"/>
    </dxf>
    <dxf>
      <font>
        <b val="0"/>
        <i val="0"/>
        <strike val="0"/>
        <condense val="0"/>
        <extend val="0"/>
        <outline val="0"/>
        <shadow val="0"/>
        <u val="none"/>
        <vertAlign val="baseline"/>
        <sz val="10"/>
        <color theme="1"/>
        <name val="Arial"/>
        <scheme val="none"/>
      </font>
      <numFmt numFmtId="3" formatCode="#,##0"/>
      <alignment horizontal="general" vertical="center" textRotation="0" wrapText="0" relativeIndent="0" justifyLastLine="0" shrinkToFit="0" readingOrder="0"/>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vertical="center" textRotation="0" indent="0" justifyLastLine="0" shrinkToFit="0" readingOrder="0"/>
    </dxf>
    <dxf>
      <font>
        <strike val="0"/>
        <outline val="0"/>
        <shadow val="0"/>
        <u val="none"/>
        <vertAlign val="baseline"/>
        <sz val="10"/>
        <color theme="1"/>
        <name val="Arial"/>
        <scheme val="none"/>
      </font>
      <numFmt numFmtId="3" formatCode="#,##0"/>
      <alignment horizontal="center" vertical="center" textRotation="0" wrapText="1" indent="0" justifyLastLine="0" shrinkToFit="0" readingOrder="0"/>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auto="1"/>
      </font>
      <fill>
        <patternFill>
          <bgColor theme="9" tint="0.59996337778862885"/>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b/>
        <i val="0"/>
        <color theme="0"/>
      </font>
      <fill>
        <patternFill>
          <bgColor rgb="FF356095"/>
        </patternFill>
      </fill>
      <border>
        <left/>
        <right/>
      </border>
    </dxf>
    <dxf>
      <font>
        <b/>
        <i val="0"/>
        <color theme="0"/>
      </font>
      <fill>
        <patternFill>
          <bgColor rgb="FF4E82C0"/>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auto="1"/>
      </font>
      <fill>
        <patternFill>
          <bgColor theme="9" tint="0.59996337778862885"/>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auto="1"/>
      </font>
      <fill>
        <patternFill>
          <bgColor theme="9" tint="0.59996337778862885"/>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auto="1"/>
      </font>
      <fill>
        <patternFill>
          <bgColor theme="9" tint="0.59996337778862885"/>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auto="1"/>
      </font>
      <fill>
        <patternFill>
          <bgColor theme="9" tint="0.59996337778862885"/>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color auto="1"/>
      </font>
      <fill>
        <patternFill>
          <bgColor theme="9" tint="0.59996337778862885"/>
        </patternFill>
      </fill>
    </dxf>
    <dxf>
      <fill>
        <patternFill>
          <bgColor rgb="FFD7E4BC"/>
        </patternFill>
      </fill>
    </dxf>
    <dxf>
      <fill>
        <patternFill>
          <bgColor rgb="FFEAF1DD"/>
        </patternFill>
      </fill>
    </dxf>
    <dxf>
      <font>
        <color theme="0"/>
      </font>
      <fill>
        <patternFill>
          <bgColor theme="0"/>
        </patternFill>
      </fill>
    </dxf>
    <dxf>
      <font>
        <color theme="0"/>
      </font>
      <fill>
        <patternFill>
          <bgColor theme="0"/>
        </patternFill>
      </fill>
    </dxf>
    <dxf>
      <fill>
        <patternFill>
          <bgColor rgb="FFD7E4BC"/>
        </patternFill>
      </fill>
    </dxf>
    <dxf>
      <fill>
        <patternFill>
          <bgColor rgb="FFEAF1DD"/>
        </patternFill>
      </fill>
    </dxf>
    <dxf>
      <font>
        <b/>
        <i val="0"/>
        <color theme="0"/>
      </font>
      <fill>
        <patternFill>
          <bgColor rgb="FF356095"/>
        </patternFill>
      </fill>
      <border>
        <left/>
        <right/>
      </border>
    </dxf>
    <dxf>
      <font>
        <b/>
        <i val="0"/>
        <color theme="0"/>
      </font>
      <fill>
        <patternFill>
          <bgColor rgb="FF4E82C0"/>
        </patternFill>
      </fill>
    </dxf>
    <dxf>
      <font>
        <b/>
        <i val="0"/>
        <color rgb="FFFFFF00"/>
      </font>
      <fill>
        <patternFill>
          <bgColor rgb="FFFF0000"/>
        </patternFill>
      </fill>
    </dxf>
    <dxf>
      <font>
        <color auto="1"/>
      </font>
      <fill>
        <patternFill>
          <bgColor theme="9" tint="0.59996337778862885"/>
        </patternFill>
      </fill>
    </dxf>
    <dxf>
      <alignment textRotation="0" wrapText="1" indent="0" justifyLastLine="0" shrinkToFit="0" readingOrder="0"/>
    </dxf>
    <dxf>
      <border outline="0">
        <top style="thin">
          <color theme="0"/>
        </top>
      </border>
    </dxf>
    <dxf>
      <border outline="0">
        <bottom style="thick">
          <color theme="0"/>
        </bottom>
      </border>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alignment textRotation="0" wrapText="1" indent="0" justifyLastLine="0" shrinkToFit="0" readingOrder="0"/>
    </dxf>
    <dxf>
      <border outline="0">
        <top style="thin">
          <color theme="0"/>
        </top>
      </border>
    </dxf>
    <dxf>
      <border outline="0">
        <bottom style="thick">
          <color theme="0"/>
        </bottom>
      </border>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alignment textRotation="0" wrapText="1" indent="0" justifyLastLine="0" shrinkToFit="0" readingOrder="0"/>
    </dxf>
    <dxf>
      <border outline="0">
        <top style="thin">
          <color theme="0"/>
        </top>
      </border>
    </dxf>
    <dxf>
      <border outline="0">
        <bottom style="thick">
          <color theme="0"/>
        </bottom>
      </border>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alignment textRotation="0" wrapText="1" indent="0" justifyLastLine="0" shrinkToFit="0" readingOrder="0"/>
    </dxf>
    <dxf>
      <border outline="0">
        <top style="thin">
          <color theme="0"/>
        </top>
      </border>
    </dxf>
    <dxf>
      <border outline="0">
        <bottom style="thick">
          <color theme="0"/>
        </bottom>
      </border>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alignment textRotation="0" wrapText="1" indent="0" justifyLastLine="0" shrinkToFit="0" readingOrder="0"/>
    </dxf>
    <dxf>
      <border outline="0">
        <top style="thin">
          <color theme="0"/>
        </top>
      </border>
    </dxf>
    <dxf>
      <border outline="0">
        <bottom style="thick">
          <color theme="0"/>
        </bottom>
      </border>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alignment textRotation="0" wrapText="1" indent="0" justifyLastLine="0" shrinkToFit="0" readingOrder="0"/>
    </dxf>
    <dxf>
      <border outline="0">
        <top style="thin">
          <color theme="0"/>
        </top>
      </border>
    </dxf>
    <dxf>
      <border outline="0">
        <bottom style="thick">
          <color theme="0"/>
        </bottom>
      </border>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alignment textRotation="0" wrapText="1" indent="0" justifyLastLine="0" shrinkToFit="0" readingOrder="0"/>
    </dxf>
    <dxf>
      <border outline="0">
        <top style="thin">
          <color theme="0"/>
        </top>
      </border>
    </dxf>
    <dxf>
      <border outline="0">
        <bottom style="thick">
          <color theme="0"/>
        </bottom>
      </border>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alignment textRotation="0" wrapText="1" indent="0" justifyLastLine="0" shrinkToFit="0" readingOrder="0"/>
    </dxf>
    <dxf>
      <border outline="0">
        <top style="thin">
          <color theme="0"/>
        </top>
      </border>
    </dxf>
    <dxf>
      <border outline="0">
        <bottom style="thick">
          <color theme="0"/>
        </bottom>
      </border>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alignment textRotation="0" wrapText="1" indent="0" justifyLastLine="0" shrinkToFit="0" readingOrder="0"/>
    </dxf>
    <dxf>
      <border outline="0">
        <left style="medium">
          <color indexed="64"/>
        </left>
        <right style="medium">
          <color indexed="64"/>
        </right>
        <bottom style="medium">
          <color indexed="64"/>
        </bottom>
      </border>
    </dxf>
    <dxf>
      <border outline="0">
        <bottom style="thick">
          <color theme="0"/>
        </bottom>
      </border>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dxf>
    <dxf>
      <alignment textRotation="0" wrapText="1" indent="0" justifyLastLine="0" shrinkToFit="0" readingOrder="0"/>
    </dxf>
    <dxf>
      <border outline="0">
        <top style="thin">
          <color theme="0"/>
        </top>
      </border>
    </dxf>
    <dxf>
      <border>
        <bottom style="thick">
          <color theme="0"/>
        </bottom>
        <vertical/>
        <horizontal/>
      </border>
    </dxf>
    <dxf>
      <font>
        <b val="0"/>
        <i val="0"/>
        <strike val="0"/>
        <condense val="0"/>
        <extend val="0"/>
        <outline val="0"/>
        <shadow val="0"/>
        <u val="none"/>
        <vertAlign val="baseline"/>
        <sz val="10"/>
        <color theme="1"/>
        <name val="Arial"/>
        <scheme val="none"/>
      </font>
      <numFmt numFmtId="3" formatCode="#,##0"/>
      <alignment horizontal="center" vertical="center" textRotation="0" wrapText="1" relativeIndent="0" justifyLastLine="0" shrinkToFit="0" readingOrder="0"/>
      <border diagonalUp="0" diagonalDown="0">
        <left style="thin">
          <color auto="1"/>
        </left>
        <right style="thin">
          <color auto="1"/>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rgb="FFD7E4BC"/>
        </patternFill>
      </fill>
    </dxf>
    <dxf>
      <fill>
        <patternFill>
          <bgColor rgb="FFEAF1DD"/>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val="0"/>
        <i val="0"/>
        <strike val="0"/>
        <condense val="0"/>
        <extend val="0"/>
        <outline val="0"/>
        <shadow val="0"/>
        <u val="none"/>
        <vertAlign val="baseline"/>
        <sz val="10"/>
        <color theme="1"/>
        <name val="Arial"/>
        <scheme val="none"/>
      </font>
      <numFmt numFmtId="174" formatCode="yyyy\ mmm\ dd"/>
    </dxf>
    <dxf>
      <font>
        <b val="0"/>
        <i val="0"/>
        <strike val="0"/>
        <condense val="0"/>
        <extend val="0"/>
        <outline val="0"/>
        <shadow val="0"/>
        <u val="none"/>
        <vertAlign val="baseline"/>
        <sz val="10"/>
        <color theme="1"/>
        <name val="Arial"/>
        <scheme val="none"/>
      </font>
      <alignment horizontal="general" vertical="bottom" textRotation="0" wrapText="1" relative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0" formatCode="General"/>
    </dxf>
    <dxf>
      <alignment horizontal="center" vertical="center" textRotation="0" indent="0" justifyLastLine="0" shrinkToFit="0" readingOrder="0"/>
    </dxf>
    <dxf>
      <font>
        <strike val="0"/>
        <outline val="0"/>
        <shadow val="0"/>
        <u val="none"/>
        <vertAlign val="baseline"/>
        <sz val="10"/>
        <name val="Arial"/>
        <scheme val="none"/>
      </font>
      <numFmt numFmtId="0" formatCode="General"/>
      <protection locked="0" hidden="0"/>
    </dxf>
    <dxf>
      <font>
        <strike val="0"/>
        <outline val="0"/>
        <shadow val="0"/>
        <u val="none"/>
        <vertAlign val="baseline"/>
        <sz val="10"/>
        <name val="Arial"/>
        <scheme val="none"/>
      </font>
      <protection locked="0" hidden="0"/>
    </dxf>
    <dxf>
      <font>
        <strike val="0"/>
        <outline val="0"/>
        <shadow val="0"/>
        <u val="none"/>
        <vertAlign val="baseline"/>
        <sz val="10"/>
        <name val="Arial"/>
        <scheme val="none"/>
      </font>
      <alignment horizontal="general" vertical="bottom" textRotation="0" wrapText="1" indent="0" justifyLastLine="0" shrinkToFit="0" readingOrder="0"/>
      <protection locked="0" hidden="0"/>
    </dxf>
    <dxf>
      <font>
        <strike val="0"/>
        <outline val="0"/>
        <shadow val="0"/>
        <u val="none"/>
        <vertAlign val="baseline"/>
        <sz val="10"/>
        <name val="Arial"/>
        <scheme val="none"/>
      </font>
      <protection locked="0" hidden="0"/>
    </dxf>
    <dxf>
      <font>
        <strike val="0"/>
        <outline val="0"/>
        <shadow val="0"/>
        <u val="none"/>
        <vertAlign val="baseline"/>
        <sz val="10"/>
        <name val="Arial"/>
        <scheme val="none"/>
      </font>
      <protection locked="0" hidden="0"/>
    </dxf>
    <dxf>
      <font>
        <b/>
        <strike val="0"/>
        <outline val="0"/>
        <shadow val="0"/>
        <u val="none"/>
        <vertAlign val="baseline"/>
        <sz val="10"/>
        <color theme="0"/>
        <name val="Arial"/>
        <scheme val="none"/>
      </font>
      <fill>
        <patternFill patternType="solid">
          <fgColor indexed="64"/>
          <bgColor theme="4"/>
        </patternFill>
      </fill>
    </dxf>
    <dxf>
      <font>
        <strike val="0"/>
        <outline val="0"/>
        <shadow val="0"/>
        <u val="none"/>
        <vertAlign val="baseline"/>
        <sz val="10"/>
        <name val="Arial"/>
        <scheme val="none"/>
      </font>
    </dxf>
    <dxf>
      <font>
        <strike val="0"/>
        <outline val="0"/>
        <shadow val="0"/>
        <u val="none"/>
        <vertAlign val="baseline"/>
        <sz val="10"/>
        <name val="Arial"/>
        <scheme val="none"/>
      </font>
    </dxf>
    <dxf>
      <font>
        <color auto="1"/>
      </font>
      <fill>
        <patternFill>
          <bgColor rgb="FFD7E4BC"/>
        </patternFill>
      </fill>
    </dxf>
  </dxfs>
  <tableStyles count="0" defaultTableStyle="TableStyleMedium9" defaultPivotStyle="PivotStyleLight16"/>
  <colors>
    <mruColors>
      <color rgb="FFB8CCE4"/>
      <color rgb="FFDBE5F0"/>
      <color rgb="FF356095"/>
      <color rgb="FF4E82C0"/>
      <color rgb="FFEAF1DD"/>
      <color rgb="FFD7E4BC"/>
      <color rgb="FF4F81BD"/>
      <color rgb="FFDBE5F1"/>
      <color rgb="FFE6B9B8"/>
      <color rgb="FFC050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per co-director</a:t>
            </a:r>
          </a:p>
        </c:rich>
      </c:tx>
      <c:overlay val="1"/>
    </c:title>
    <c:autoTitleDeleted val="0"/>
    <c:plotArea>
      <c:layout/>
      <c:barChart>
        <c:barDir val="col"/>
        <c:grouping val="clustered"/>
        <c:varyColors val="0"/>
        <c:ser>
          <c:idx val="0"/>
          <c:order val="0"/>
          <c:tx>
            <c:strRef>
              <c:f>'Financial Report'!$C$19</c:f>
              <c:strCache>
                <c:ptCount val="1"/>
                <c:pt idx="0">
                  <c:v>Budget to Date</c:v>
                </c:pt>
              </c:strCache>
            </c:strRef>
          </c:tx>
          <c:invertIfNegative val="0"/>
          <c:cat>
            <c:numRef>
              <c:f>'Financial Report'!$B$20:$B$29</c:f>
              <c:numCache>
                <c:formatCode>General</c:formatCode>
                <c:ptCount val="10"/>
                <c:pt idx="0">
                  <c:v>0</c:v>
                </c:pt>
                <c:pt idx="1">
                  <c:v>0</c:v>
                </c:pt>
                <c:pt idx="2">
                  <c:v>0</c:v>
                </c:pt>
                <c:pt idx="3">
                  <c:v>0</c:v>
                </c:pt>
                <c:pt idx="4">
                  <c:v>0</c:v>
                </c:pt>
                <c:pt idx="5">
                  <c:v>0</c:v>
                </c:pt>
                <c:pt idx="6">
                  <c:v>0</c:v>
                </c:pt>
                <c:pt idx="7">
                  <c:v>0</c:v>
                </c:pt>
                <c:pt idx="8">
                  <c:v>0</c:v>
                </c:pt>
                <c:pt idx="9">
                  <c:v>0</c:v>
                </c:pt>
              </c:numCache>
            </c:numRef>
          </c:cat>
          <c:val>
            <c:numRef>
              <c:f>'Financial Report'!$C$20:$C$29</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671-4481-A32F-B4DEC7223919}"/>
            </c:ext>
          </c:extLst>
        </c:ser>
        <c:ser>
          <c:idx val="1"/>
          <c:order val="1"/>
          <c:tx>
            <c:strRef>
              <c:f>'Financial Report'!$D$19</c:f>
              <c:strCache>
                <c:ptCount val="1"/>
                <c:pt idx="0">
                  <c:v>Spend to Date</c:v>
                </c:pt>
              </c:strCache>
            </c:strRef>
          </c:tx>
          <c:invertIfNegative val="0"/>
          <c:cat>
            <c:numRef>
              <c:f>'Financial Report'!$B$20:$B$29</c:f>
              <c:numCache>
                <c:formatCode>General</c:formatCode>
                <c:ptCount val="10"/>
                <c:pt idx="0">
                  <c:v>0</c:v>
                </c:pt>
                <c:pt idx="1">
                  <c:v>0</c:v>
                </c:pt>
                <c:pt idx="2">
                  <c:v>0</c:v>
                </c:pt>
                <c:pt idx="3">
                  <c:v>0</c:v>
                </c:pt>
                <c:pt idx="4">
                  <c:v>0</c:v>
                </c:pt>
                <c:pt idx="5">
                  <c:v>0</c:v>
                </c:pt>
                <c:pt idx="6">
                  <c:v>0</c:v>
                </c:pt>
                <c:pt idx="7">
                  <c:v>0</c:v>
                </c:pt>
                <c:pt idx="8">
                  <c:v>0</c:v>
                </c:pt>
                <c:pt idx="9">
                  <c:v>0</c:v>
                </c:pt>
              </c:numCache>
            </c:numRef>
          </c:cat>
          <c:val>
            <c:numRef>
              <c:f>'Financial Report'!$D$20:$D$29</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71-4481-A32F-B4DEC7223919}"/>
            </c:ext>
          </c:extLst>
        </c:ser>
        <c:dLbls>
          <c:showLegendKey val="0"/>
          <c:showVal val="0"/>
          <c:showCatName val="0"/>
          <c:showSerName val="0"/>
          <c:showPercent val="0"/>
          <c:showBubbleSize val="0"/>
        </c:dLbls>
        <c:gapWidth val="150"/>
        <c:axId val="463477128"/>
        <c:axId val="463475168"/>
      </c:barChart>
      <c:catAx>
        <c:axId val="463477128"/>
        <c:scaling>
          <c:orientation val="minMax"/>
        </c:scaling>
        <c:delete val="0"/>
        <c:axPos val="b"/>
        <c:numFmt formatCode="General" sourceLinked="1"/>
        <c:majorTickMark val="in"/>
        <c:minorTickMark val="none"/>
        <c:tickLblPos val="nextTo"/>
        <c:crossAx val="463475168"/>
        <c:crosses val="autoZero"/>
        <c:auto val="1"/>
        <c:lblAlgn val="ctr"/>
        <c:lblOffset val="100"/>
        <c:noMultiLvlLbl val="0"/>
      </c:catAx>
      <c:valAx>
        <c:axId val="463475168"/>
        <c:scaling>
          <c:orientation val="minMax"/>
          <c:min val="0"/>
        </c:scaling>
        <c:delete val="0"/>
        <c:axPos val="l"/>
        <c:numFmt formatCode="#,##0" sourceLinked="1"/>
        <c:majorTickMark val="in"/>
        <c:minorTickMark val="none"/>
        <c:tickLblPos val="nextTo"/>
        <c:crossAx val="463477128"/>
        <c:crosses val="autoZero"/>
        <c:crossBetween val="between"/>
      </c:valAx>
    </c:plotArea>
    <c:legend>
      <c:legendPos val="tr"/>
      <c:overlay val="1"/>
    </c:legend>
    <c:plotVisOnly val="1"/>
    <c:dispBlanksAs val="gap"/>
    <c:showDLblsOverMax val="0"/>
  </c:chart>
  <c:printSettings>
    <c:headerFooter/>
    <c:pageMargins b="0.75000000000000355" l="0.70000000000000062" r="0.70000000000000062" t="0.7500000000000035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'Financial Report'!$C$40</c:f>
              <c:strCache>
                <c:ptCount val="1"/>
                <c:pt idx="0">
                  <c:v>Budget to Date</c:v>
                </c:pt>
              </c:strCache>
            </c:strRef>
          </c:tx>
          <c:invertIfNegative val="0"/>
          <c:cat>
            <c:strRef>
              <c:f>'Financial Report'!$B$41:$B$49</c:f>
              <c:strCache>
                <c:ptCount val="8"/>
                <c:pt idx="0">
                  <c:v>Equipment</c:v>
                </c:pt>
                <c:pt idx="1">
                  <c:v>Training</c:v>
                </c:pt>
                <c:pt idx="2">
                  <c:v>Communication &amp; Publication</c:v>
                </c:pt>
                <c:pt idx="3">
                  <c:v>Travel</c:v>
                </c:pt>
                <c:pt idx="4">
                  <c:v>Consumables</c:v>
                </c:pt>
                <c:pt idx="5">
                  <c:v>Other</c:v>
                </c:pt>
                <c:pt idx="6">
                  <c:v>Stipends</c:v>
                </c:pt>
                <c:pt idx="7">
                  <c:v>Co-financing of personnel</c:v>
                </c:pt>
              </c:strCache>
            </c:strRef>
          </c:cat>
          <c:val>
            <c:numRef>
              <c:f>'Financial Report'!$C$41:$C$49</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8FEA-4503-94FD-23D52C9D4101}"/>
            </c:ext>
          </c:extLst>
        </c:ser>
        <c:ser>
          <c:idx val="1"/>
          <c:order val="1"/>
          <c:tx>
            <c:strRef>
              <c:f>'Financial Report'!$D$40</c:f>
              <c:strCache>
                <c:ptCount val="1"/>
                <c:pt idx="0">
                  <c:v>Spend to Date</c:v>
                </c:pt>
              </c:strCache>
            </c:strRef>
          </c:tx>
          <c:invertIfNegative val="0"/>
          <c:cat>
            <c:strRef>
              <c:f>'Financial Report'!$B$41:$B$49</c:f>
              <c:strCache>
                <c:ptCount val="8"/>
                <c:pt idx="0">
                  <c:v>Equipment</c:v>
                </c:pt>
                <c:pt idx="1">
                  <c:v>Training</c:v>
                </c:pt>
                <c:pt idx="2">
                  <c:v>Communication &amp; Publication</c:v>
                </c:pt>
                <c:pt idx="3">
                  <c:v>Travel</c:v>
                </c:pt>
                <c:pt idx="4">
                  <c:v>Consumables</c:v>
                </c:pt>
                <c:pt idx="5">
                  <c:v>Other</c:v>
                </c:pt>
                <c:pt idx="6">
                  <c:v>Stipends</c:v>
                </c:pt>
                <c:pt idx="7">
                  <c:v>Co-financing of personnel</c:v>
                </c:pt>
              </c:strCache>
            </c:strRef>
          </c:cat>
          <c:val>
            <c:numRef>
              <c:f>'Financial Report'!$D$41:$D$49</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8FEA-4503-94FD-23D52C9D4101}"/>
            </c:ext>
          </c:extLst>
        </c:ser>
        <c:dLbls>
          <c:showLegendKey val="0"/>
          <c:showVal val="0"/>
          <c:showCatName val="0"/>
          <c:showSerName val="0"/>
          <c:showPercent val="0"/>
          <c:showBubbleSize val="0"/>
        </c:dLbls>
        <c:gapWidth val="150"/>
        <c:axId val="463476736"/>
        <c:axId val="463479872"/>
      </c:barChart>
      <c:catAx>
        <c:axId val="463476736"/>
        <c:scaling>
          <c:orientation val="minMax"/>
        </c:scaling>
        <c:delete val="0"/>
        <c:axPos val="b"/>
        <c:numFmt formatCode="General" sourceLinked="0"/>
        <c:majorTickMark val="in"/>
        <c:minorTickMark val="none"/>
        <c:tickLblPos val="nextTo"/>
        <c:crossAx val="463479872"/>
        <c:crosses val="autoZero"/>
        <c:auto val="1"/>
        <c:lblAlgn val="ctr"/>
        <c:lblOffset val="100"/>
        <c:noMultiLvlLbl val="0"/>
      </c:catAx>
      <c:valAx>
        <c:axId val="463479872"/>
        <c:scaling>
          <c:orientation val="minMax"/>
        </c:scaling>
        <c:delete val="0"/>
        <c:axPos val="l"/>
        <c:numFmt formatCode="#,##0" sourceLinked="1"/>
        <c:majorTickMark val="in"/>
        <c:minorTickMark val="none"/>
        <c:tickLblPos val="nextTo"/>
        <c:crossAx val="463476736"/>
        <c:crosses val="autoZero"/>
        <c:crossBetween val="between"/>
      </c:valAx>
    </c:plotArea>
    <c:legend>
      <c:legendPos val="r"/>
      <c:overlay val="0"/>
    </c:legend>
    <c:plotVisOnly val="1"/>
    <c:dispBlanksAs val="gap"/>
    <c:showDLblsOverMax val="0"/>
  </c:chart>
  <c:printSettings>
    <c:headerFooter/>
    <c:pageMargins b="0.75000000000000344" l="0.70000000000000062" r="0.70000000000000062" t="0.75000000000000344"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'Financial Record'!$J$20</c:f>
              <c:strCache>
                <c:ptCount val="1"/>
                <c:pt idx="0">
                  <c:v>cumSpend</c:v>
                </c:pt>
              </c:strCache>
            </c:strRef>
          </c:tx>
          <c:spPr>
            <a:ln w="28575">
              <a:noFill/>
            </a:ln>
          </c:spPr>
          <c:xVal>
            <c:numRef>
              <c:f>'Financial Record'!$B$21:$B$72</c:f>
              <c:numCache>
                <c:formatCode>General</c:formatCode>
                <c:ptCount val="52"/>
              </c:numCache>
            </c:numRef>
          </c:xVal>
          <c:yVal>
            <c:numRef>
              <c:f>'Financial Record'!$J$21:$J$72</c:f>
              <c:numCache>
                <c:formatCode>General</c:formatCode>
                <c:ptCount val="52"/>
                <c:pt idx="0" formatCode="_(* #,##0_);_(* \(#,##0\);_(* &quot;-&quot;_);_(@_)">
                  <c:v>0</c:v>
                </c:pt>
              </c:numCache>
            </c:numRef>
          </c:yVal>
          <c:smooth val="0"/>
          <c:extLst>
            <c:ext xmlns:c16="http://schemas.microsoft.com/office/drawing/2014/chart" uri="{C3380CC4-5D6E-409C-BE32-E72D297353CC}">
              <c16:uniqueId val="{00000000-FA46-4A0D-B9CD-A3F581FEE94F}"/>
            </c:ext>
          </c:extLst>
        </c:ser>
        <c:ser>
          <c:idx val="1"/>
          <c:order val="1"/>
          <c:tx>
            <c:strRef>
              <c:f>Current!$C$1</c:f>
              <c:strCache>
                <c:ptCount val="1"/>
                <c:pt idx="0">
                  <c:v>Kickoff</c:v>
                </c:pt>
              </c:strCache>
            </c:strRef>
          </c:tx>
          <c:spPr>
            <a:ln w="28575">
              <a:solidFill>
                <a:srgbClr val="000000"/>
              </a:solidFill>
            </a:ln>
          </c:spPr>
          <c:marker>
            <c:symbol val="none"/>
          </c:marker>
          <c:xVal>
            <c:numRef>
              <c:f>Current!$B$2:$B$11</c:f>
              <c:numCache>
                <c:formatCode>yyyy/mm/dd</c:formatCode>
                <c:ptCount val="10"/>
                <c:pt idx="0">
                  <c:v>0</c:v>
                </c:pt>
                <c:pt idx="1">
                  <c:v>0</c:v>
                </c:pt>
                <c:pt idx="2">
                  <c:v>0</c:v>
                </c:pt>
                <c:pt idx="3">
                  <c:v>0</c:v>
                </c:pt>
                <c:pt idx="4">
                  <c:v>0</c:v>
                </c:pt>
                <c:pt idx="5">
                  <c:v>0</c:v>
                </c:pt>
                <c:pt idx="6">
                  <c:v>0</c:v>
                </c:pt>
                <c:pt idx="7">
                  <c:v>0</c:v>
                </c:pt>
                <c:pt idx="8">
                  <c:v>0</c:v>
                </c:pt>
                <c:pt idx="9">
                  <c:v>0</c:v>
                </c:pt>
              </c:numCache>
            </c:numRef>
          </c:xVal>
          <c:yVal>
            <c:numRef>
              <c:f>Current!$C$2:$C$11</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1-FA46-4A0D-B9CD-A3F581FEE94F}"/>
            </c:ext>
          </c:extLst>
        </c:ser>
        <c:dLbls>
          <c:showLegendKey val="0"/>
          <c:showVal val="0"/>
          <c:showCatName val="0"/>
          <c:showSerName val="0"/>
          <c:showPercent val="0"/>
          <c:showBubbleSize val="0"/>
        </c:dLbls>
        <c:axId val="463479088"/>
        <c:axId val="463475560"/>
      </c:scatterChart>
      <c:valAx>
        <c:axId val="463479088"/>
        <c:scaling>
          <c:orientation val="minMax"/>
          <c:min val="40179"/>
        </c:scaling>
        <c:delete val="0"/>
        <c:axPos val="b"/>
        <c:numFmt formatCode="yyyy/mm" sourceLinked="0"/>
        <c:majorTickMark val="in"/>
        <c:minorTickMark val="none"/>
        <c:tickLblPos val="nextTo"/>
        <c:crossAx val="463475560"/>
        <c:crosses val="autoZero"/>
        <c:crossBetween val="midCat"/>
        <c:majorUnit val="365"/>
      </c:valAx>
      <c:valAx>
        <c:axId val="463475560"/>
        <c:scaling>
          <c:orientation val="minMax"/>
          <c:min val="0"/>
        </c:scaling>
        <c:delete val="0"/>
        <c:axPos val="l"/>
        <c:numFmt formatCode="_(* #,##0_);_(* \(#,##0\);_(* &quot;-&quot;_);_(@_)" sourceLinked="1"/>
        <c:majorTickMark val="in"/>
        <c:minorTickMark val="none"/>
        <c:tickLblPos val="nextTo"/>
        <c:crossAx val="463479088"/>
        <c:crosses val="autoZero"/>
        <c:crossBetween val="midCat"/>
      </c:valAx>
    </c:plotArea>
    <c:legend>
      <c:legendPos val="r"/>
      <c:overlay val="0"/>
    </c:legend>
    <c:plotVisOnly val="1"/>
    <c:dispBlanksAs val="gap"/>
    <c:showDLblsOverMax val="0"/>
  </c:chart>
  <c:printSettings>
    <c:headerFooter/>
    <c:pageMargins b="0.75000000000000311" l="0.70000000000000062" r="0.70000000000000062" t="0.750000000000003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Current!$C$1</c:f>
              <c:strCache>
                <c:ptCount val="1"/>
                <c:pt idx="0">
                  <c:v>Kickoff</c:v>
                </c:pt>
              </c:strCache>
            </c:strRef>
          </c:tx>
          <c:marker>
            <c:symbol val="none"/>
          </c:marker>
          <c:xVal>
            <c:numRef>
              <c:f>Current!$B$2:$B$11</c:f>
              <c:numCache>
                <c:formatCode>yyyy/mm/dd</c:formatCode>
                <c:ptCount val="10"/>
                <c:pt idx="0">
                  <c:v>0</c:v>
                </c:pt>
                <c:pt idx="1">
                  <c:v>0</c:v>
                </c:pt>
                <c:pt idx="2">
                  <c:v>0</c:v>
                </c:pt>
                <c:pt idx="3">
                  <c:v>0</c:v>
                </c:pt>
                <c:pt idx="4">
                  <c:v>0</c:v>
                </c:pt>
                <c:pt idx="5">
                  <c:v>0</c:v>
                </c:pt>
                <c:pt idx="6">
                  <c:v>0</c:v>
                </c:pt>
                <c:pt idx="7">
                  <c:v>0</c:v>
                </c:pt>
                <c:pt idx="8">
                  <c:v>0</c:v>
                </c:pt>
                <c:pt idx="9">
                  <c:v>0</c:v>
                </c:pt>
              </c:numCache>
            </c:numRef>
          </c:xVal>
          <c:yVal>
            <c:numRef>
              <c:f>Current!$C$2:$C$11</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0-4378-4299-8EE6-D5B5E9556F1E}"/>
            </c:ext>
          </c:extLst>
        </c:ser>
        <c:ser>
          <c:idx val="1"/>
          <c:order val="1"/>
          <c:tx>
            <c:strRef>
              <c:f>Current!$D$1</c:f>
              <c:strCache>
                <c:ptCount val="1"/>
                <c:pt idx="0">
                  <c:v>Initial</c:v>
                </c:pt>
              </c:strCache>
            </c:strRef>
          </c:tx>
          <c:marker>
            <c:symbol val="none"/>
          </c:marker>
          <c:xVal>
            <c:numRef>
              <c:f>Current!$B$2:$B$11</c:f>
              <c:numCache>
                <c:formatCode>yyyy/mm/dd</c:formatCode>
                <c:ptCount val="10"/>
                <c:pt idx="0">
                  <c:v>0</c:v>
                </c:pt>
                <c:pt idx="1">
                  <c:v>0</c:v>
                </c:pt>
                <c:pt idx="2">
                  <c:v>0</c:v>
                </c:pt>
                <c:pt idx="3">
                  <c:v>0</c:v>
                </c:pt>
                <c:pt idx="4">
                  <c:v>0</c:v>
                </c:pt>
                <c:pt idx="5">
                  <c:v>0</c:v>
                </c:pt>
                <c:pt idx="6">
                  <c:v>0</c:v>
                </c:pt>
                <c:pt idx="7">
                  <c:v>0</c:v>
                </c:pt>
                <c:pt idx="8">
                  <c:v>0</c:v>
                </c:pt>
                <c:pt idx="9">
                  <c:v>0</c:v>
                </c:pt>
              </c:numCache>
            </c:numRef>
          </c:xVal>
          <c:yVal>
            <c:numRef>
              <c:f>Current!$D$2:$D$11</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1-4378-4299-8EE6-D5B5E9556F1E}"/>
            </c:ext>
          </c:extLst>
        </c:ser>
        <c:ser>
          <c:idx val="2"/>
          <c:order val="2"/>
          <c:tx>
            <c:strRef>
              <c:f>Current!$E$1</c:f>
              <c:strCache>
                <c:ptCount val="1"/>
                <c:pt idx="0">
                  <c:v>Milestone1</c:v>
                </c:pt>
              </c:strCache>
            </c:strRef>
          </c:tx>
          <c:marker>
            <c:symbol val="none"/>
          </c:marker>
          <c:xVal>
            <c:numRef>
              <c:f>Current!$B$2:$B$11</c:f>
              <c:numCache>
                <c:formatCode>yyyy/mm/dd</c:formatCode>
                <c:ptCount val="10"/>
                <c:pt idx="0">
                  <c:v>0</c:v>
                </c:pt>
                <c:pt idx="1">
                  <c:v>0</c:v>
                </c:pt>
                <c:pt idx="2">
                  <c:v>0</c:v>
                </c:pt>
                <c:pt idx="3">
                  <c:v>0</c:v>
                </c:pt>
                <c:pt idx="4">
                  <c:v>0</c:v>
                </c:pt>
                <c:pt idx="5">
                  <c:v>0</c:v>
                </c:pt>
                <c:pt idx="6">
                  <c:v>0</c:v>
                </c:pt>
                <c:pt idx="7">
                  <c:v>0</c:v>
                </c:pt>
                <c:pt idx="8">
                  <c:v>0</c:v>
                </c:pt>
                <c:pt idx="9">
                  <c:v>0</c:v>
                </c:pt>
              </c:numCache>
            </c:numRef>
          </c:xVal>
          <c:yVal>
            <c:numRef>
              <c:f>Current!$E$2:$E$11</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2-4378-4299-8EE6-D5B5E9556F1E}"/>
            </c:ext>
          </c:extLst>
        </c:ser>
        <c:ser>
          <c:idx val="3"/>
          <c:order val="3"/>
          <c:tx>
            <c:strRef>
              <c:f>Current!$F$1</c:f>
              <c:strCache>
                <c:ptCount val="1"/>
                <c:pt idx="0">
                  <c:v>Milestone2</c:v>
                </c:pt>
              </c:strCache>
            </c:strRef>
          </c:tx>
          <c:marker>
            <c:symbol val="none"/>
          </c:marker>
          <c:xVal>
            <c:numRef>
              <c:f>Current!$B$2:$B$11</c:f>
              <c:numCache>
                <c:formatCode>yyyy/mm/dd</c:formatCode>
                <c:ptCount val="10"/>
                <c:pt idx="0">
                  <c:v>0</c:v>
                </c:pt>
                <c:pt idx="1">
                  <c:v>0</c:v>
                </c:pt>
                <c:pt idx="2">
                  <c:v>0</c:v>
                </c:pt>
                <c:pt idx="3">
                  <c:v>0</c:v>
                </c:pt>
                <c:pt idx="4">
                  <c:v>0</c:v>
                </c:pt>
                <c:pt idx="5">
                  <c:v>0</c:v>
                </c:pt>
                <c:pt idx="6">
                  <c:v>0</c:v>
                </c:pt>
                <c:pt idx="7">
                  <c:v>0</c:v>
                </c:pt>
                <c:pt idx="8">
                  <c:v>0</c:v>
                </c:pt>
                <c:pt idx="9">
                  <c:v>0</c:v>
                </c:pt>
              </c:numCache>
            </c:numRef>
          </c:xVal>
          <c:yVal>
            <c:numRef>
              <c:f>Current!$F$2:$F$11</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3-4378-4299-8EE6-D5B5E9556F1E}"/>
            </c:ext>
          </c:extLst>
        </c:ser>
        <c:ser>
          <c:idx val="4"/>
          <c:order val="4"/>
          <c:tx>
            <c:strRef>
              <c:f>Current!$G$1</c:f>
              <c:strCache>
                <c:ptCount val="1"/>
                <c:pt idx="0">
                  <c:v>Milestone3</c:v>
                </c:pt>
              </c:strCache>
            </c:strRef>
          </c:tx>
          <c:marker>
            <c:symbol val="none"/>
          </c:marker>
          <c:xVal>
            <c:numRef>
              <c:f>Current!$B$2:$B$11</c:f>
              <c:numCache>
                <c:formatCode>yyyy/mm/dd</c:formatCode>
                <c:ptCount val="10"/>
                <c:pt idx="0">
                  <c:v>0</c:v>
                </c:pt>
                <c:pt idx="1">
                  <c:v>0</c:v>
                </c:pt>
                <c:pt idx="2">
                  <c:v>0</c:v>
                </c:pt>
                <c:pt idx="3">
                  <c:v>0</c:v>
                </c:pt>
                <c:pt idx="4">
                  <c:v>0</c:v>
                </c:pt>
                <c:pt idx="5">
                  <c:v>0</c:v>
                </c:pt>
                <c:pt idx="6">
                  <c:v>0</c:v>
                </c:pt>
                <c:pt idx="7">
                  <c:v>0</c:v>
                </c:pt>
                <c:pt idx="8">
                  <c:v>0</c:v>
                </c:pt>
                <c:pt idx="9">
                  <c:v>0</c:v>
                </c:pt>
              </c:numCache>
            </c:numRef>
          </c:xVal>
          <c:yVal>
            <c:numRef>
              <c:f>Current!$G$2:$G$11</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4-4378-4299-8EE6-D5B5E9556F1E}"/>
            </c:ext>
          </c:extLst>
        </c:ser>
        <c:dLbls>
          <c:showLegendKey val="0"/>
          <c:showVal val="0"/>
          <c:showCatName val="0"/>
          <c:showSerName val="0"/>
          <c:showPercent val="0"/>
          <c:showBubbleSize val="0"/>
        </c:dLbls>
        <c:axId val="463481440"/>
        <c:axId val="463483008"/>
      </c:scatterChart>
      <c:valAx>
        <c:axId val="463481440"/>
        <c:scaling>
          <c:orientation val="minMax"/>
        </c:scaling>
        <c:delete val="0"/>
        <c:axPos val="b"/>
        <c:numFmt formatCode="yyyy/mm/dd" sourceLinked="1"/>
        <c:majorTickMark val="out"/>
        <c:minorTickMark val="none"/>
        <c:tickLblPos val="nextTo"/>
        <c:crossAx val="463483008"/>
        <c:crosses val="autoZero"/>
        <c:crossBetween val="midCat"/>
      </c:valAx>
      <c:valAx>
        <c:axId val="463483008"/>
        <c:scaling>
          <c:orientation val="minMax"/>
        </c:scaling>
        <c:delete val="0"/>
        <c:axPos val="l"/>
        <c:numFmt formatCode="[$$-409]#,##0" sourceLinked="0"/>
        <c:majorTickMark val="out"/>
        <c:minorTickMark val="none"/>
        <c:tickLblPos val="nextTo"/>
        <c:crossAx val="463481440"/>
        <c:crosses val="autoZero"/>
        <c:crossBetween val="midCat"/>
      </c:valAx>
    </c:plotArea>
    <c:legend>
      <c:legendPos val="r"/>
      <c:overlay val="0"/>
    </c:legend>
    <c:plotVisOnly val="1"/>
    <c:dispBlanksAs val="gap"/>
    <c:showDLblsOverMax val="0"/>
  </c:chart>
  <c:printSettings>
    <c:headerFooter/>
    <c:pageMargins b="0.75000000000000255" l="0.70000000000000062" r="0.70000000000000062" t="0.75000000000000255" header="0.30000000000000032" footer="0.30000000000000032"/>
    <c:pageSetup/>
  </c:printSettings>
</c:chartSpace>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581024</xdr:colOff>
      <xdr:row>2</xdr:row>
      <xdr:rowOff>95250</xdr:rowOff>
    </xdr:from>
    <xdr:to>
      <xdr:col>3</xdr:col>
      <xdr:colOff>2609849</xdr:colOff>
      <xdr:row>4</xdr:row>
      <xdr:rowOff>133350</xdr:rowOff>
    </xdr:to>
    <xdr:sp macro="" textlink="">
      <xdr:nvSpPr>
        <xdr:cNvPr id="2" name="Rounded Rectangle 1"/>
        <xdr:cNvSpPr/>
      </xdr:nvSpPr>
      <xdr:spPr>
        <a:xfrm>
          <a:off x="3343274" y="428625"/>
          <a:ext cx="2028825" cy="533400"/>
        </a:xfrm>
        <a:prstGeom prst="roundRect">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lang="en-US" sz="1100" b="1">
              <a:solidFill>
                <a:sysClr val="windowText" lastClr="000000"/>
              </a:solidFill>
            </a:rPr>
            <a:t>Do not fill in 'Start Date' </a:t>
          </a:r>
          <a:r>
            <a:rPr lang="en-US" sz="1100" b="1" baseline="0">
              <a:solidFill>
                <a:sysClr val="windowText" lastClr="000000"/>
              </a:solidFill>
            </a:rPr>
            <a:t>at the time of application</a:t>
          </a:r>
          <a:endParaRPr lang="en-US" sz="1100" b="1">
            <a:solidFill>
              <a:sysClr val="windowText" lastClr="000000"/>
            </a:solidFill>
          </a:endParaRPr>
        </a:p>
      </xdr:txBody>
    </xdr:sp>
    <xdr:clientData/>
  </xdr:twoCellAnchor>
  <xdr:twoCellAnchor>
    <xdr:from>
      <xdr:col>2</xdr:col>
      <xdr:colOff>1162050</xdr:colOff>
      <xdr:row>3</xdr:row>
      <xdr:rowOff>200025</xdr:rowOff>
    </xdr:from>
    <xdr:to>
      <xdr:col>3</xdr:col>
      <xdr:colOff>581024</xdr:colOff>
      <xdr:row>4</xdr:row>
      <xdr:rowOff>76200</xdr:rowOff>
    </xdr:to>
    <xdr:cxnSp macro="">
      <xdr:nvCxnSpPr>
        <xdr:cNvPr id="4" name="Straight Arrow Connector 3"/>
        <xdr:cNvCxnSpPr>
          <a:stCxn id="2" idx="1"/>
        </xdr:cNvCxnSpPr>
      </xdr:nvCxnSpPr>
      <xdr:spPr>
        <a:xfrm flipH="1">
          <a:off x="2752725" y="695325"/>
          <a:ext cx="590549" cy="209550"/>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28574</xdr:colOff>
      <xdr:row>0</xdr:row>
      <xdr:rowOff>133349</xdr:rowOff>
    </xdr:from>
    <xdr:to>
      <xdr:col>9</xdr:col>
      <xdr:colOff>219075</xdr:colOff>
      <xdr:row>3</xdr:row>
      <xdr:rowOff>209550</xdr:rowOff>
    </xdr:to>
    <xdr:sp macro="" textlink="">
      <xdr:nvSpPr>
        <xdr:cNvPr id="11" name="Rounded Rectangle 10"/>
        <xdr:cNvSpPr/>
      </xdr:nvSpPr>
      <xdr:spPr>
        <a:xfrm>
          <a:off x="8343899" y="133349"/>
          <a:ext cx="1409701" cy="571501"/>
        </a:xfrm>
        <a:prstGeom prst="roundRect">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lang="en-US" sz="1100" b="1">
              <a:solidFill>
                <a:sysClr val="windowText" lastClr="000000"/>
              </a:solidFill>
            </a:rPr>
            <a:t>Green cells</a:t>
          </a:r>
          <a:r>
            <a:rPr lang="en-US" sz="1100" b="1" baseline="0">
              <a:solidFill>
                <a:sysClr val="windowText" lastClr="000000"/>
              </a:solidFill>
            </a:rPr>
            <a:t> indicate your input</a:t>
          </a:r>
          <a:endParaRPr lang="en-US" sz="1100" b="1">
            <a:solidFill>
              <a:sysClr val="windowText" lastClr="000000"/>
            </a:solidFill>
          </a:endParaRPr>
        </a:p>
      </xdr:txBody>
    </xdr:sp>
    <xdr:clientData/>
  </xdr:twoCellAnchor>
  <xdr:twoCellAnchor>
    <xdr:from>
      <xdr:col>6</xdr:col>
      <xdr:colOff>19050</xdr:colOff>
      <xdr:row>1</xdr:row>
      <xdr:rowOff>85726</xdr:rowOff>
    </xdr:from>
    <xdr:to>
      <xdr:col>7</xdr:col>
      <xdr:colOff>28574</xdr:colOff>
      <xdr:row>2</xdr:row>
      <xdr:rowOff>85725</xdr:rowOff>
    </xdr:to>
    <xdr:cxnSp macro="">
      <xdr:nvCxnSpPr>
        <xdr:cNvPr id="12" name="Straight Arrow Connector 11"/>
        <xdr:cNvCxnSpPr>
          <a:stCxn id="11" idx="1"/>
        </xdr:cNvCxnSpPr>
      </xdr:nvCxnSpPr>
      <xdr:spPr>
        <a:xfrm flipH="1" flipV="1">
          <a:off x="7724775" y="257176"/>
          <a:ext cx="619124" cy="16192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419100</xdr:colOff>
      <xdr:row>3</xdr:row>
      <xdr:rowOff>133350</xdr:rowOff>
    </xdr:to>
    <xdr:pic>
      <xdr:nvPicPr>
        <xdr:cNvPr id="4" name="Picture 1"/>
        <xdr:cNvPicPr>
          <a:picLocks noChangeAspect="1" noChangeArrowheads="1"/>
        </xdr:cNvPicPr>
      </xdr:nvPicPr>
      <xdr:blipFill>
        <a:blip xmlns:r="http://schemas.openxmlformats.org/officeDocument/2006/relationships" r:embed="rId1" cstate="print"/>
        <a:srcRect b="50820"/>
        <a:stretch>
          <a:fillRect/>
        </a:stretch>
      </xdr:blipFill>
      <xdr:spPr bwMode="auto">
        <a:xfrm>
          <a:off x="0" y="0"/>
          <a:ext cx="685800" cy="685800"/>
        </a:xfrm>
        <a:prstGeom prst="rect">
          <a:avLst/>
        </a:prstGeom>
        <a:noFill/>
      </xdr:spPr>
    </xdr:pic>
    <xdr:clientData/>
  </xdr:twoCellAnchor>
  <xdr:twoCellAnchor>
    <xdr:from>
      <xdr:col>4</xdr:col>
      <xdr:colOff>194856</xdr:colOff>
      <xdr:row>12</xdr:row>
      <xdr:rowOff>30541</xdr:rowOff>
    </xdr:from>
    <xdr:to>
      <xdr:col>4</xdr:col>
      <xdr:colOff>2224182</xdr:colOff>
      <xdr:row>16</xdr:row>
      <xdr:rowOff>66674</xdr:rowOff>
    </xdr:to>
    <xdr:sp macro="" textlink="">
      <xdr:nvSpPr>
        <xdr:cNvPr id="3" name="Rounded Rectangle 2"/>
        <xdr:cNvSpPr/>
      </xdr:nvSpPr>
      <xdr:spPr>
        <a:xfrm>
          <a:off x="2461806" y="2402266"/>
          <a:ext cx="2029326" cy="721933"/>
        </a:xfrm>
        <a:prstGeom prst="roundRect">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lang="en-US" sz="1100" b="1">
              <a:solidFill>
                <a:sysClr val="windowText" lastClr="000000"/>
              </a:solidFill>
            </a:rPr>
            <a:t>Please fill in the</a:t>
          </a:r>
          <a:r>
            <a:rPr lang="en-US" sz="1100" b="1" baseline="0">
              <a:solidFill>
                <a:sysClr val="windowText" lastClr="000000"/>
              </a:solidFill>
            </a:rPr>
            <a:t> kickoff date and the last expense date of each Milestone report</a:t>
          </a:r>
          <a:endParaRPr lang="en-US" sz="1100" b="1">
            <a:solidFill>
              <a:sysClr val="windowText" lastClr="000000"/>
            </a:solidFill>
          </a:endParaRPr>
        </a:p>
      </xdr:txBody>
    </xdr:sp>
    <xdr:clientData/>
  </xdr:twoCellAnchor>
  <xdr:twoCellAnchor>
    <xdr:from>
      <xdr:col>2</xdr:col>
      <xdr:colOff>495300</xdr:colOff>
      <xdr:row>11</xdr:row>
      <xdr:rowOff>152400</xdr:rowOff>
    </xdr:from>
    <xdr:to>
      <xdr:col>4</xdr:col>
      <xdr:colOff>1209519</xdr:colOff>
      <xdr:row>12</xdr:row>
      <xdr:rowOff>30541</xdr:rowOff>
    </xdr:to>
    <xdr:cxnSp macro="">
      <xdr:nvCxnSpPr>
        <xdr:cNvPr id="5" name="Straight Arrow Connector 4"/>
        <xdr:cNvCxnSpPr>
          <a:stCxn id="3" idx="0"/>
        </xdr:cNvCxnSpPr>
      </xdr:nvCxnSpPr>
      <xdr:spPr>
        <a:xfrm rot="16200000" flipV="1">
          <a:off x="2380189" y="1305986"/>
          <a:ext cx="211516" cy="1981044"/>
        </a:xfrm>
        <a:prstGeom prst="curvedConnector2">
          <a:avLst/>
        </a:prstGeom>
        <a:ln w="28575">
          <a:solidFill>
            <a:schemeClr val="accent6">
              <a:lumMod val="75000"/>
            </a:schemeClr>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558852</xdr:colOff>
      <xdr:row>11</xdr:row>
      <xdr:rowOff>43383</xdr:rowOff>
    </xdr:from>
    <xdr:to>
      <xdr:col>2</xdr:col>
      <xdr:colOff>654102</xdr:colOff>
      <xdr:row>11</xdr:row>
      <xdr:rowOff>138633</xdr:rowOff>
    </xdr:to>
    <xdr:sp macro="" textlink="">
      <xdr:nvSpPr>
        <xdr:cNvPr id="10" name="Oval 9"/>
        <xdr:cNvSpPr/>
      </xdr:nvSpPr>
      <xdr:spPr>
        <a:xfrm>
          <a:off x="1556470" y="2073712"/>
          <a:ext cx="95250" cy="9525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2390776</xdr:colOff>
      <xdr:row>12</xdr:row>
      <xdr:rowOff>49592</xdr:rowOff>
    </xdr:from>
    <xdr:to>
      <xdr:col>6</xdr:col>
      <xdr:colOff>84568</xdr:colOff>
      <xdr:row>15</xdr:row>
      <xdr:rowOff>78166</xdr:rowOff>
    </xdr:to>
    <xdr:sp macro="" textlink="">
      <xdr:nvSpPr>
        <xdr:cNvPr id="19" name="Rounded Rectangle 18"/>
        <xdr:cNvSpPr/>
      </xdr:nvSpPr>
      <xdr:spPr>
        <a:xfrm>
          <a:off x="4657726" y="2421317"/>
          <a:ext cx="2113392" cy="542924"/>
        </a:xfrm>
        <a:prstGeom prst="roundRect">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lang="en-US" sz="1100" b="1">
              <a:solidFill>
                <a:sysClr val="windowText" lastClr="000000"/>
              </a:solidFill>
            </a:rPr>
            <a:t>The SPS Office will fill in</a:t>
          </a:r>
          <a:r>
            <a:rPr lang="en-US" sz="1100" b="1" baseline="0">
              <a:solidFill>
                <a:sysClr val="windowText" lastClr="000000"/>
              </a:solidFill>
            </a:rPr>
            <a:t> the payment following each report</a:t>
          </a:r>
          <a:endParaRPr lang="en-US" sz="1100" b="1">
            <a:solidFill>
              <a:sysClr val="windowText" lastClr="000000"/>
            </a:solidFill>
          </a:endParaRPr>
        </a:p>
      </xdr:txBody>
    </xdr:sp>
    <xdr:clientData/>
  </xdr:twoCellAnchor>
  <xdr:twoCellAnchor>
    <xdr:from>
      <xdr:col>3</xdr:col>
      <xdr:colOff>495300</xdr:colOff>
      <xdr:row>11</xdr:row>
      <xdr:rowOff>57150</xdr:rowOff>
    </xdr:from>
    <xdr:to>
      <xdr:col>5</xdr:col>
      <xdr:colOff>361372</xdr:colOff>
      <xdr:row>12</xdr:row>
      <xdr:rowOff>21017</xdr:rowOff>
    </xdr:to>
    <xdr:cxnSp macro="">
      <xdr:nvCxnSpPr>
        <xdr:cNvPr id="20" name="Straight Arrow Connector 4"/>
        <xdr:cNvCxnSpPr/>
      </xdr:nvCxnSpPr>
      <xdr:spPr>
        <a:xfrm rot="16200000" flipV="1">
          <a:off x="3908740" y="348935"/>
          <a:ext cx="297242" cy="3790372"/>
        </a:xfrm>
        <a:prstGeom prst="curvedConnector2">
          <a:avLst/>
        </a:prstGeom>
        <a:ln w="28575">
          <a:solidFill>
            <a:schemeClr val="accent6">
              <a:lumMod val="75000"/>
            </a:schemeClr>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478642</xdr:colOff>
      <xdr:row>11</xdr:row>
      <xdr:rowOff>148660</xdr:rowOff>
    </xdr:from>
    <xdr:to>
      <xdr:col>3</xdr:col>
      <xdr:colOff>573892</xdr:colOff>
      <xdr:row>11</xdr:row>
      <xdr:rowOff>243910</xdr:rowOff>
    </xdr:to>
    <xdr:sp macro="" textlink="">
      <xdr:nvSpPr>
        <xdr:cNvPr id="24" name="Oval 23"/>
        <xdr:cNvSpPr/>
      </xdr:nvSpPr>
      <xdr:spPr>
        <a:xfrm>
          <a:off x="2143010" y="2178989"/>
          <a:ext cx="95250" cy="9525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19050</xdr:rowOff>
    </xdr:from>
    <xdr:to>
      <xdr:col>1</xdr:col>
      <xdr:colOff>704850</xdr:colOff>
      <xdr:row>4</xdr:row>
      <xdr:rowOff>62126</xdr:rowOff>
    </xdr:to>
    <xdr:pic>
      <xdr:nvPicPr>
        <xdr:cNvPr id="2" name="Picture 1"/>
        <xdr:cNvPicPr>
          <a:picLocks noChangeAspect="1" noChangeArrowheads="1"/>
        </xdr:cNvPicPr>
      </xdr:nvPicPr>
      <xdr:blipFill>
        <a:blip xmlns:r="http://schemas.openxmlformats.org/officeDocument/2006/relationships" r:embed="rId1" cstate="print"/>
        <a:srcRect b="50820"/>
        <a:stretch>
          <a:fillRect/>
        </a:stretch>
      </xdr:blipFill>
      <xdr:spPr bwMode="auto">
        <a:xfrm>
          <a:off x="0" y="19050"/>
          <a:ext cx="704850" cy="757451"/>
        </a:xfrm>
        <a:prstGeom prst="rect">
          <a:avLst/>
        </a:prstGeom>
        <a:noFill/>
      </xdr:spPr>
    </xdr:pic>
    <xdr:clientData/>
  </xdr:twoCellAnchor>
  <xdr:twoCellAnchor>
    <xdr:from>
      <xdr:col>2</xdr:col>
      <xdr:colOff>9526</xdr:colOff>
      <xdr:row>6</xdr:row>
      <xdr:rowOff>95250</xdr:rowOff>
    </xdr:from>
    <xdr:to>
      <xdr:col>10</xdr:col>
      <xdr:colOff>342901</xdr:colOff>
      <xdr:row>17</xdr:row>
      <xdr:rowOff>19050</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85725</xdr:colOff>
      <xdr:row>51</xdr:row>
      <xdr:rowOff>38100</xdr:rowOff>
    </xdr:from>
    <xdr:to>
      <xdr:col>13</xdr:col>
      <xdr:colOff>409575</xdr:colOff>
      <xdr:row>68</xdr:row>
      <xdr:rowOff>28575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571500</xdr:colOff>
      <xdr:row>17</xdr:row>
      <xdr:rowOff>114300</xdr:rowOff>
    </xdr:from>
    <xdr:to>
      <xdr:col>23</xdr:col>
      <xdr:colOff>0</xdr:colOff>
      <xdr:row>34</xdr:row>
      <xdr:rowOff>152400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57150</xdr:colOff>
      <xdr:row>0</xdr:row>
      <xdr:rowOff>38100</xdr:rowOff>
    </xdr:from>
    <xdr:to>
      <xdr:col>16</xdr:col>
      <xdr:colOff>361950</xdr:colOff>
      <xdr:row>17</xdr:row>
      <xdr:rowOff>28575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id="1" name="directors" displayName="directors" ref="A14:F24" totalsRowShown="0" headerRowDxfId="550" dataDxfId="549">
  <tableColumns count="6">
    <tableColumn id="5" name="Role" dataDxfId="548">
      <calculatedColumnFormula>CHOOSE(ROW(directors[#This Row])-ROW(directors[#Headers]), "NPD", "PPD", "CoA", "CoB", "CoC", "CoD", "CoE", "CoF", "CoG", "CoH")</calculatedColumnFormula>
    </tableColumn>
    <tableColumn id="1" name="First" dataDxfId="547"/>
    <tableColumn id="2" name="Last" dataDxfId="546"/>
    <tableColumn id="3" name="Institution" dataDxfId="545"/>
    <tableColumn id="4" name="Country" dataDxfId="544"/>
    <tableColumn id="6" name="NATO" dataDxfId="543">
      <calculatedColumnFormula>IF(OR(INDEX(natoCountryList=directors[[#This Row],[Country]],)),"NATO", IF(OR(INDEX(partnerCountryList=directors[[#This Row],[Country]],)),"Partner",""))</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47" name="budgetCoF" displayName="budgetCoF" ref="A364:F406" totalsRowShown="0" headerRowDxfId="471" headerRowBorderDxfId="470" tableBorderDxfId="469">
  <tableColumns count="6">
    <tableColumn id="1" name="Category" dataDxfId="468"/>
    <tableColumn id="2" name="Milestone 1"/>
    <tableColumn id="3" name="Milestone 2"/>
    <tableColumn id="4" name="Milestone 3"/>
    <tableColumn id="5" name="Milestone 4"/>
    <tableColumn id="6" name="Final"/>
  </tableColumns>
  <tableStyleInfo name="TableStyleMedium9" showFirstColumn="0" showLastColumn="0" showRowStripes="1" showColumnStripes="0"/>
</table>
</file>

<file path=xl/tables/table11.xml><?xml version="1.0" encoding="utf-8"?>
<table xmlns="http://schemas.openxmlformats.org/spreadsheetml/2006/main" id="48" name="budgetCoG" displayName="budgetCoG" ref="A413:F455" totalsRowShown="0" headerRowDxfId="467" headerRowBorderDxfId="466" tableBorderDxfId="465">
  <tableColumns count="6">
    <tableColumn id="1" name="Category" dataDxfId="464"/>
    <tableColumn id="2" name="Milestone 1"/>
    <tableColumn id="3" name="Milestone 2"/>
    <tableColumn id="4" name="Milestone 3"/>
    <tableColumn id="5" name="Milestone 4"/>
    <tableColumn id="6" name="Final"/>
  </tableColumns>
  <tableStyleInfo name="TableStyleMedium9" showFirstColumn="0" showLastColumn="0" showRowStripes="1" showColumnStripes="0"/>
</table>
</file>

<file path=xl/tables/table12.xml><?xml version="1.0" encoding="utf-8"?>
<table xmlns="http://schemas.openxmlformats.org/spreadsheetml/2006/main" id="50" name="budgetCoH" displayName="budgetCoH" ref="A462:F504" totalsRowShown="0" headerRowDxfId="463" headerRowBorderDxfId="462" tableBorderDxfId="461">
  <tableColumns count="6">
    <tableColumn id="1" name="Category" dataDxfId="460"/>
    <tableColumn id="2" name="Milestone 1"/>
    <tableColumn id="3" name="Milestone 2"/>
    <tableColumn id="4" name="Milestone 3"/>
    <tableColumn id="5" name="Milestone 4"/>
    <tableColumn id="6" name="Final"/>
  </tableColumns>
  <tableStyleInfo name="TableStyleMedium9" showFirstColumn="0" showLastColumn="0" showRowStripes="1" showColumnStripes="0"/>
</table>
</file>

<file path=xl/tables/table13.xml><?xml version="1.0" encoding="utf-8"?>
<table xmlns="http://schemas.openxmlformats.org/spreadsheetml/2006/main" id="44" name="budgetSummary" displayName="budgetSummary" ref="L17:U127" totalsRowShown="0" headerRowDxfId="369" dataDxfId="368">
  <tableColumns count="10">
    <tableColumn id="4" name="Category" dataDxfId="367">
      <calculatedColumnFormula>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calculatedColumnFormula>
    </tableColumn>
    <tableColumn id="5" name="Milestone 1" dataDxfId="366"/>
    <tableColumn id="6" name="Milestone 2" dataDxfId="365"/>
    <tableColumn id="7" name="Milestone 3" dataDxfId="364"/>
    <tableColumn id="8" name="Milestone 4" dataDxfId="363"/>
    <tableColumn id="9" name="Final" dataDxfId="362"/>
    <tableColumn id="10" name="Total" dataDxfId="361">
      <calculatedColumnFormula>SUM(budgetSummary[[#This Row],[Milestone 1]:[Final]])</calculatedColumnFormula>
    </tableColumn>
    <tableColumn id="1" name="row" dataDxfId="360">
      <calculatedColumnFormula>ROW()-ROW(budgetSummary[#Headers])</calculatedColumnFormula>
    </tableColumn>
    <tableColumn id="2" name="catIndex" dataDxfId="359">
      <calculatedColumnFormula>IF(budgetSummary[row] &lt;= numCategories +3, budgetSummary[row]-1, MOD(budgetSummary[row]-1,numCategories+3) + IF(MOD(budgetSummary[row]-2,numCategories+2)&gt;numCategories+1, 1,0))</calculatedColumnFormula>
    </tableColumn>
    <tableColumn id="3" name="director" dataDxfId="358">
      <calculatedColumnFormula>IFERROR(INDEX(directors[Last],MAX(1,FLOOR((budgetSummary[row]-1)/(numCategories+3)+1,1))),1)</calculatedColumnFormula>
    </tableColumn>
  </tableColumns>
  <tableStyleInfo name="TableStyleMedium9" showFirstColumn="0" showLastColumn="0" showRowStripes="1" showColumnStripes="0"/>
</table>
</file>

<file path=xl/tables/table14.xml><?xml version="1.0" encoding="utf-8"?>
<table xmlns="http://schemas.openxmlformats.org/spreadsheetml/2006/main" id="11" name="budgetProjectPlanOverall" displayName="budgetProjectPlanOverall" ref="A6:G15" totalsRowCount="1" headerRowDxfId="357" dataDxfId="356" totalsRowDxfId="355">
  <tableColumns count="7">
    <tableColumn id="1" name="Category" totalsRowLabel="Total" dataDxfId="354" totalsRowDxfId="353">
      <calculatedColumnFormula>INDEX(categories[Expense Categories],ROW()-ROW(budgetProjectPlanOverall[#Headers]))</calculatedColumnFormula>
    </tableColumn>
    <tableColumn id="2" name="Milestone 1" totalsRowFunction="sum" dataDxfId="352" totalsRowDxfId="351">
      <calculatedColumnFormula>SUMIFS(budgetProjectPlan[Milestone 1],budgetProjectPlan[Category],budgetProjectPlanOverall[[#This Row],[Category]],budgetProjectPlan[director], "&lt;&gt;1")</calculatedColumnFormula>
    </tableColumn>
    <tableColumn id="3" name="Milestone 2" totalsRowFunction="sum" dataDxfId="350" totalsRowDxfId="349">
      <calculatedColumnFormula>SUMIFS(budgetProjectPlan[Milestone 2],budgetProjectPlan[Category],budgetProjectPlanOverall[[#This Row],[Category]],budgetProjectPlan[director], "&lt;&gt;1")</calculatedColumnFormula>
    </tableColumn>
    <tableColumn id="4" name="Milestone 3" totalsRowFunction="sum" dataDxfId="348" totalsRowDxfId="347">
      <calculatedColumnFormula>SUMIFS(budgetProjectPlan[Milestone 3],budgetProjectPlan[Category],budgetProjectPlanOverall[[#This Row],[Category]],budgetProjectPlan[director], "&lt;&gt;1")</calculatedColumnFormula>
    </tableColumn>
    <tableColumn id="5" name="Milestone 4" totalsRowFunction="sum" dataDxfId="346" totalsRowDxfId="345">
      <calculatedColumnFormula>SUMIFS(budgetProjectPlan[Milestone 4],budgetProjectPlan[Category],budgetProjectPlanOverall[[#This Row],[Category]],budgetProjectPlan[director], "&lt;&gt;1")</calculatedColumnFormula>
    </tableColumn>
    <tableColumn id="6" name="Final" totalsRowFunction="sum" dataDxfId="344" totalsRowDxfId="343">
      <calculatedColumnFormula>SUMIFS(budgetProjectPlan[Final],budgetProjectPlan[Category],budgetProjectPlanOverall[[#This Row],[Category]],budgetProjectPlan[director], "&lt;&gt;1")</calculatedColumnFormula>
    </tableColumn>
    <tableColumn id="7" name="Total" totalsRowFunction="sum" dataDxfId="342" totalsRowDxfId="341">
      <calculatedColumnFormula>SUM(budgetProjectPlanOverall[[#This Row],[Milestone 1]:[Final]])</calculatedColumnFormula>
    </tableColumn>
  </tableColumns>
  <tableStyleInfo name="TableStyleMedium9" showFirstColumn="0" showLastColumn="0" showRowStripes="1" showColumnStripes="0"/>
</table>
</file>

<file path=xl/tables/table15.xml><?xml version="1.0" encoding="utf-8"?>
<table xmlns="http://schemas.openxmlformats.org/spreadsheetml/2006/main" id="9" name="budgetSummaryOverall" displayName="budgetSummaryOverall" ref="L6:R15" totalsRowCount="1" headerRowDxfId="340" dataDxfId="339" totalsRowDxfId="338">
  <tableColumns count="7">
    <tableColumn id="1" name="Category" totalsRowLabel="Total" dataDxfId="337" totalsRowDxfId="336">
      <calculatedColumnFormula>INDEX(categories[Expense Categories],ROW()-ROW(budgetSummaryOverall[#Headers]))</calculatedColumnFormula>
    </tableColumn>
    <tableColumn id="2" name="Milestone 1" totalsRowFunction="sum" dataDxfId="335" totalsRowDxfId="334">
      <calculatedColumnFormula>SUMIFS(budgetSummary[Milestone 1],budgetSummary[Category],budgetSummaryOverall[[#This Row],[Category]],budgetSummary[director], "&lt;&gt;1")</calculatedColumnFormula>
    </tableColumn>
    <tableColumn id="3" name="Milestone 2" totalsRowFunction="sum" dataDxfId="333" totalsRowDxfId="332">
      <calculatedColumnFormula>SUMIFS(budgetSummary[Milestone 2],budgetSummary[Category],budgetSummaryOverall[[#This Row],[Category]],budgetSummary[director], "&lt;&gt;1")</calculatedColumnFormula>
    </tableColumn>
    <tableColumn id="4" name="Milestone 3" totalsRowFunction="sum" dataDxfId="331" totalsRowDxfId="330">
      <calculatedColumnFormula>SUMIFS(budgetSummary[Milestone 3],budgetSummary[Category],budgetSummaryOverall[[#This Row],[Category]],budgetSummary[director], "&lt;&gt;1")</calculatedColumnFormula>
    </tableColumn>
    <tableColumn id="5" name="Milestone 4" totalsRowFunction="sum" dataDxfId="329" totalsRowDxfId="328">
      <calculatedColumnFormula>SUMIFS(budgetSummary[Milestone 4],budgetSummary[Category],budgetSummaryOverall[[#This Row],[Category]],budgetSummary[director], "&lt;&gt;1")</calculatedColumnFormula>
    </tableColumn>
    <tableColumn id="6" name="Final" totalsRowFunction="sum" dataDxfId="327" totalsRowDxfId="326">
      <calculatedColumnFormula>SUMIFS(budgetSummary[Final],budgetSummary[Category],budgetSummaryOverall[[#This Row],[Category]],budgetSummary[director], "&lt;&gt;1")</calculatedColumnFormula>
    </tableColumn>
    <tableColumn id="7" name="Total" totalsRowFunction="sum" dataDxfId="325" totalsRowDxfId="324">
      <calculatedColumnFormula>SUM(budgetSummaryOverall[[#This Row],[Milestone 1]:[Final]])</calculatedColumnFormula>
    </tableColumn>
  </tableColumns>
  <tableStyleInfo name="TableStyleMedium9" showFirstColumn="0" showLastColumn="0" showRowStripes="1" showColumnStripes="0"/>
</table>
</file>

<file path=xl/tables/table16.xml><?xml version="1.0" encoding="utf-8"?>
<table xmlns="http://schemas.openxmlformats.org/spreadsheetml/2006/main" id="5" name="budgetProjectPlan" displayName="budgetProjectPlan" ref="A17:J127" totalsRowShown="0" headerRowDxfId="323" dataDxfId="322">
  <tableColumns count="10">
    <tableColumn id="4" name="Category" dataDxfId="321">
      <calculatedColumnFormula>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calculatedColumnFormula>
    </tableColumn>
    <tableColumn id="5" name="Milestone 1" dataDxfId="320"/>
    <tableColumn id="6" name="Milestone 2" dataDxfId="319"/>
    <tableColumn id="7" name="Milestone 3" dataDxfId="318"/>
    <tableColumn id="8" name="Milestone 4" dataDxfId="317"/>
    <tableColumn id="9" name="Final" dataDxfId="316"/>
    <tableColumn id="10" name="Total" dataDxfId="315">
      <calculatedColumnFormula>SUM(budgetProjectPlan[[#This Row],[Milestone 1]:[Final]])</calculatedColumnFormula>
    </tableColumn>
    <tableColumn id="1" name="row" dataDxfId="314">
      <calculatedColumnFormula>ROW()-ROW(budgetProjectPlan[#Headers])</calculatedColumnFormula>
    </tableColumn>
    <tableColumn id="2" name="catIndex" dataDxfId="313">
      <calculatedColumnFormula>IF(budgetProjectPlan[row] &lt;= numCategories +3, budgetProjectPlan[row]-1, MOD(budgetProjectPlan[row]-1,numCategories+3) + IF(MOD(budgetProjectPlan[row]-2,numCategories+2)&gt;numCategories+1, 1,0))</calculatedColumnFormula>
    </tableColumn>
    <tableColumn id="3" name="director" dataDxfId="312">
      <calculatedColumnFormula>IFERROR(INDEX(directors[Last],MAX(1,FLOOR((budgetProjectPlan[row]-1)/(numCategories+3)+1,1))),1)</calculatedColumnFormula>
    </tableColumn>
  </tableColumns>
  <tableStyleInfo name="TableStyleMedium9" showFirstColumn="0" showLastColumn="0" showRowStripes="1" showColumnStripes="0"/>
</table>
</file>

<file path=xl/tables/table17.xml><?xml version="1.0" encoding="utf-8"?>
<table xmlns="http://schemas.openxmlformats.org/spreadsheetml/2006/main" id="4" name="ARF" displayName="ARF" ref="A20:L21" headerRowDxfId="308" dataDxfId="307" totalsRowDxfId="306">
  <tableColumns count="12">
    <tableColumn id="1" name="No." dataDxfId="305" totalsRowDxfId="304">
      <calculatedColumnFormula>ROW(ARF[#This Row])-ROW(ARF[#Headers])</calculatedColumnFormula>
    </tableColumn>
    <tableColumn id="9" name="Date" dataDxfId="303"/>
    <tableColumn id="2" name="Co Director" dataDxfId="302"/>
    <tableColumn id="10" name="Category" dataDxfId="301"/>
    <tableColumn id="4" name="Item Description" dataDxfId="300"/>
    <tableColumn id="5" name="Paid To" dataDxfId="299"/>
    <tableColumn id="6" name="Amount Paid" dataDxfId="298"/>
    <tableColumn id="7" name="Currency Paid" totalsRowLabel="Total" dataDxfId="297"/>
    <tableColumn id="8" name="Amount in Euro" totalsRowFunction="sum" dataDxfId="296">
      <calculatedColumnFormula>IF(H21="EUR",G21,"")</calculatedColumnFormula>
    </tableColumn>
    <tableColumn id="3" name="cumSpend" dataDxfId="295" totalsRowDxfId="294">
      <calculatedColumnFormula>IFERROR(ARF[[#This Row],[Amount in Euro]]+IF(NOT(ISNUMBER(J20)),0,J20),"")</calculatedColumnFormula>
    </tableColumn>
    <tableColumn id="11" name="Project" dataDxfId="293" totalsRowDxfId="292">
      <calculatedColumnFormula>spsRefNo</calculatedColumnFormula>
    </tableColumn>
    <tableColumn id="12" name="Country" dataDxfId="291" totalsRowDxfId="290">
      <calculatedColumnFormula>IFERROR(INDEX(directors[Country],MATCH(ARF[[#This Row],[Co Director]],directors[Last],0)),"")</calculatedColumnFormula>
    </tableColumn>
  </tableColumns>
  <tableStyleInfo name="TableStyleMedium9" showFirstColumn="0" showLastColumn="0" showRowStripes="1" showColumnStripes="0"/>
</table>
</file>

<file path=xl/tables/table18.xml><?xml version="1.0" encoding="utf-8"?>
<table xmlns="http://schemas.openxmlformats.org/spreadsheetml/2006/main" id="19" name="budgetMilestone1" displayName="budgetMilestone1" ref="I17:R127" totalsRowShown="0" headerRowDxfId="281" dataDxfId="280">
  <tableColumns count="10">
    <tableColumn id="4" name="Category" dataDxfId="279">
      <calculatedColumnFormula>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calculatedColumnFormula>
    </tableColumn>
    <tableColumn id="5" name="Milestone 1" dataDxfId="278"/>
    <tableColumn id="6" name="Milestone 2" dataDxfId="277"/>
    <tableColumn id="7" name="Milestone 3" dataDxfId="276"/>
    <tableColumn id="8" name="Milestone 4" dataDxfId="275"/>
    <tableColumn id="9" name="Final" dataDxfId="274"/>
    <tableColumn id="10" name="Total" dataDxfId="273">
      <calculatedColumnFormula>SUM(budgetMilestone1[[#This Row],[Milestone 1]:[Final]])</calculatedColumnFormula>
    </tableColumn>
    <tableColumn id="1" name="row" dataDxfId="272">
      <calculatedColumnFormula>ROW()-ROW(budgetMilestone1[#Headers])</calculatedColumnFormula>
    </tableColumn>
    <tableColumn id="2" name="catIndex" dataDxfId="271">
      <calculatedColumnFormula>IF(budgetMilestone1[row] &lt;= numCategories +3, budgetMilestone1[row]-1, MOD(budgetMilestone1[row]-1,numCategories+3) + IF(MOD(budgetMilestone1[row]-2,numCategories+2)&gt;numCategories+1, 1,0))</calculatedColumnFormula>
    </tableColumn>
    <tableColumn id="3" name="director" dataDxfId="270">
      <calculatedColumnFormula>IFERROR(INDEX(directors[Last],MAX(1,FLOOR((budgetMilestone1[row]-1)/(numCategories+3)+1,1))),1)</calculatedColumnFormula>
    </tableColumn>
  </tableColumns>
  <tableStyleInfo name="TableStyleMedium9" showFirstColumn="0" showLastColumn="0" showRowStripes="1" showColumnStripes="0"/>
</table>
</file>

<file path=xl/tables/table19.xml><?xml version="1.0" encoding="utf-8"?>
<table xmlns="http://schemas.openxmlformats.org/spreadsheetml/2006/main" id="24" name="budgetMilestone1Overall" displayName="budgetMilestone1Overall" ref="I6:O15" totalsRowCount="1" headerRowDxfId="269" dataDxfId="268" totalsRowDxfId="267">
  <tableColumns count="7">
    <tableColumn id="1" name="Category" totalsRowLabel="Total" dataDxfId="266" totalsRowDxfId="265">
      <calculatedColumnFormula>INDEX(categories[Expense Categories],ROW()-ROW(budgetMilestone1Overall[#Headers]))</calculatedColumnFormula>
    </tableColumn>
    <tableColumn id="2" name="Milestone 1" totalsRowFunction="sum" dataDxfId="264" totalsRowDxfId="263">
      <calculatedColumnFormula>SUMIFS(budgetMilestone1[Milestone 1],budgetMilestone1[Category],budgetMilestone1Overall[[#This Row],[Category]],budgetMilestone1[director], "&lt;&gt;1")</calculatedColumnFormula>
    </tableColumn>
    <tableColumn id="3" name="Milestone 2" totalsRowFunction="sum" dataDxfId="262" totalsRowDxfId="261">
      <calculatedColumnFormula>SUMIFS(budgetMilestone1[Milestone 2],budgetMilestone1[Category],budgetMilestone1Overall[[#This Row],[Category]],budgetMilestone1[director], "&lt;&gt;1")</calculatedColumnFormula>
    </tableColumn>
    <tableColumn id="4" name="Milestone 3" totalsRowFunction="sum" dataDxfId="260" totalsRowDxfId="259">
      <calculatedColumnFormula>SUMIFS(budgetMilestone1[Milestone 3],budgetMilestone1[Category],budgetMilestone1Overall[[#This Row],[Category]],budgetMilestone1[director], "&lt;&gt;1")</calculatedColumnFormula>
    </tableColumn>
    <tableColumn id="5" name="Milestone 4" totalsRowFunction="sum" dataDxfId="258" totalsRowDxfId="257">
      <calculatedColumnFormula>SUMIFS(budgetMilestone1[Milestone 4],budgetMilestone1[Category],budgetMilestone1Overall[[#This Row],[Category]],budgetMilestone1[director], "&lt;&gt;1")</calculatedColumnFormula>
    </tableColumn>
    <tableColumn id="6" name="Final" totalsRowFunction="sum" dataDxfId="256" totalsRowDxfId="255">
      <calculatedColumnFormula>SUMIFS(budgetMilestone1[Final],budgetMilestone1[Category],budgetMilestone1Overall[[#This Row],[Category]],budgetMilestone1[director], "&lt;&gt;1")</calculatedColumnFormula>
    </tableColumn>
    <tableColumn id="7" name="Total" totalsRowFunction="sum" dataDxfId="254" totalsRowDxfId="253">
      <calculatedColumnFormula>SUM(budgetMilestone1Overall[[#This Row],[Milestone 1]:[Final]])</calculatedColumnFormula>
    </tableColumn>
  </tableColumns>
  <tableStyleInfo name="TableStyleMedium9" showFirstColumn="0" showLastColumn="0" showRowStripes="1" showColumnStripes="0"/>
</table>
</file>

<file path=xl/tables/table2.xml><?xml version="1.0" encoding="utf-8"?>
<table xmlns="http://schemas.openxmlformats.org/spreadsheetml/2006/main" id="17" name="milestoneDates" displayName="milestoneDates" ref="B7:E12" totalsRowShown="0" headerRowDxfId="542">
  <tableColumns count="4">
    <tableColumn id="1" name="Milestone" dataDxfId="541">
      <calculatedColumnFormula>INDEX(milestones[],ROW(milestoneDates[#This Row])-ROW(milestoneDates[#Headers]) + 1)</calculatedColumnFormula>
    </tableColumn>
    <tableColumn id="2" name="Expected Date (months post Kickoff)" dataDxfId="540"/>
    <tableColumn id="3" name="Description" dataDxfId="539"/>
    <tableColumn id="4" name="Expected Date " dataDxfId="538">
      <calculatedColumnFormula>IF(kickoffDate &gt; 0,EDATE(kickoffDate,milestoneDates[[#This Row],[Expected Date (months post Kickoff)]]),"")</calculatedColumnFormula>
    </tableColumn>
  </tableColumns>
  <tableStyleInfo name="TableStyleMedium9" showFirstColumn="0" showLastColumn="0" showRowStripes="1" showColumnStripes="0"/>
</table>
</file>

<file path=xl/tables/table20.xml><?xml version="1.0" encoding="utf-8"?>
<table xmlns="http://schemas.openxmlformats.org/spreadsheetml/2006/main" id="25" name="budgetMilestone2" displayName="budgetMilestone2" ref="I17:R126" totalsRowShown="0" headerRowDxfId="232" dataDxfId="231">
  <tableColumns count="10">
    <tableColumn id="4" name="Category" dataDxfId="230">
      <calculatedColumnFormula>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calculatedColumnFormula>
    </tableColumn>
    <tableColumn id="5" name="Milestone 1" dataDxfId="229">
      <calculatedColumnFormula>budgetMilestone1[[#This Row],[Milestone 1]]</calculatedColumnFormula>
    </tableColumn>
    <tableColumn id="6" name="Milestone 2" dataDxfId="228"/>
    <tableColumn id="7" name="Milestone 3" dataDxfId="227"/>
    <tableColumn id="8" name="Milestone 4" dataDxfId="226"/>
    <tableColumn id="9" name="Final" dataDxfId="225"/>
    <tableColumn id="10" name="Total" dataDxfId="224">
      <calculatedColumnFormula>SUM(budgetMilestone2[[#This Row],[Milestone 1]:[Final]])</calculatedColumnFormula>
    </tableColumn>
    <tableColumn id="1" name="row" dataDxfId="223">
      <calculatedColumnFormula>ROW()-ROW(budgetMilestone2[#Headers])</calculatedColumnFormula>
    </tableColumn>
    <tableColumn id="2" name="catIndex" dataDxfId="222">
      <calculatedColumnFormula>IF(budgetMilestone2[row] &lt;= numCategories +3, budgetMilestone2[row]-1, MOD(budgetMilestone2[row]-1,numCategories+3) + IF(MOD(budgetMilestone2[row]-2,numCategories+2)&gt;numCategories+1, 1,0))</calculatedColumnFormula>
    </tableColumn>
    <tableColumn id="3" name="director" dataDxfId="221">
      <calculatedColumnFormula>IFERROR(INDEX(directors[Last],MAX(1,FLOOR((budgetMilestone2[row]-1)/(numCategories+3)+1,1))),1)</calculatedColumnFormula>
    </tableColumn>
  </tableColumns>
  <tableStyleInfo name="TableStyleMedium9" showFirstColumn="0" showLastColumn="0" showRowStripes="1" showColumnStripes="0"/>
</table>
</file>

<file path=xl/tables/table21.xml><?xml version="1.0" encoding="utf-8"?>
<table xmlns="http://schemas.openxmlformats.org/spreadsheetml/2006/main" id="26" name="budgetMilestone2Overall" displayName="budgetMilestone2Overall" ref="I6:O15" totalsRowCount="1" headerRowDxfId="220" dataDxfId="219" totalsRowDxfId="218">
  <tableColumns count="7">
    <tableColumn id="1" name="Category" totalsRowLabel="Total" dataDxfId="217" totalsRowDxfId="216">
      <calculatedColumnFormula>INDEX(categories[Expense Categories],ROW()-ROW(budgetMilestone2Overall[#Headers]))</calculatedColumnFormula>
    </tableColumn>
    <tableColumn id="2" name="Milestone 1" totalsRowFunction="sum" dataDxfId="215" totalsRowDxfId="214">
      <calculatedColumnFormula>SUMIFS(budgetMilestone2[Milestone 1],budgetMilestone2[Category],budgetMilestone2Overall[[#This Row],[Category]],budgetMilestone2[director], "&lt;&gt;1")</calculatedColumnFormula>
    </tableColumn>
    <tableColumn id="3" name="Milestone 2" totalsRowFunction="sum" dataDxfId="213" totalsRowDxfId="212">
      <calculatedColumnFormula>SUMIFS(budgetMilestone2[Milestone 2],budgetMilestone2[Category],budgetMilestone2Overall[[#This Row],[Category]],budgetMilestone2[director], "&lt;&gt;1")</calculatedColumnFormula>
    </tableColumn>
    <tableColumn id="4" name="Milestone 3" totalsRowFunction="sum" dataDxfId="211" totalsRowDxfId="210">
      <calculatedColumnFormula>SUMIFS(budgetMilestone2[Milestone 3],budgetMilestone2[Category],budgetMilestone2Overall[[#This Row],[Category]],budgetMilestone2[director], "&lt;&gt;1")</calculatedColumnFormula>
    </tableColumn>
    <tableColumn id="5" name="Milestone 4" totalsRowFunction="sum" dataDxfId="209" totalsRowDxfId="208">
      <calculatedColumnFormula>SUMIFS(budgetMilestone2[Milestone 4],budgetMilestone2[Category],budgetMilestone2Overall[[#This Row],[Category]],budgetMilestone2[director], "&lt;&gt;1")</calculatedColumnFormula>
    </tableColumn>
    <tableColumn id="6" name="Final" totalsRowFunction="sum" dataDxfId="207" totalsRowDxfId="206">
      <calculatedColumnFormula>SUMIFS(budgetMilestone2[Final],budgetMilestone2[Category],budgetMilestone2Overall[[#This Row],[Category]],budgetMilestone2[director], "&lt;&gt;1")</calculatedColumnFormula>
    </tableColumn>
    <tableColumn id="7" name="Total" totalsRowFunction="sum" dataDxfId="205" totalsRowDxfId="204">
      <calculatedColumnFormula>SUM(budgetMilestone2Overall[[#This Row],[Milestone 1]:[Final]])</calculatedColumnFormula>
    </tableColumn>
  </tableColumns>
  <tableStyleInfo name="TableStyleMedium9" showFirstColumn="0" showLastColumn="0" showRowStripes="1" showColumnStripes="0"/>
</table>
</file>

<file path=xl/tables/table22.xml><?xml version="1.0" encoding="utf-8"?>
<table xmlns="http://schemas.openxmlformats.org/spreadsheetml/2006/main" id="27" name="budgetMilestone3" displayName="budgetMilestone3" ref="I17:R127" totalsRowShown="0" headerRowDxfId="195" dataDxfId="194">
  <tableColumns count="10">
    <tableColumn id="4" name="Category" dataDxfId="193">
      <calculatedColumnFormula>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calculatedColumnFormula>
    </tableColumn>
    <tableColumn id="5" name="Milestone 1" dataDxfId="192">
      <calculatedColumnFormula>budgetMilestone1[[#This Row],[Milestone 1]]</calculatedColumnFormula>
    </tableColumn>
    <tableColumn id="6" name="Milestone 2" dataDxfId="191">
      <calculatedColumnFormula>budgetMilestone2[[#This Row],[Milestone 2]]</calculatedColumnFormula>
    </tableColumn>
    <tableColumn id="7" name="Milestone 3" dataDxfId="190"/>
    <tableColumn id="8" name="Milestone 4" dataDxfId="189"/>
    <tableColumn id="9" name="Final" dataDxfId="188"/>
    <tableColumn id="10" name="Total" dataDxfId="187">
      <calculatedColumnFormula>SUM(budgetMilestone3[[#This Row],[Milestone 1]:[Final]])</calculatedColumnFormula>
    </tableColumn>
    <tableColumn id="1" name="row" dataDxfId="186">
      <calculatedColumnFormula>ROW()-ROW(budgetMilestone3[#Headers])</calculatedColumnFormula>
    </tableColumn>
    <tableColumn id="2" name="catIndex" dataDxfId="185">
      <calculatedColumnFormula>IF(budgetMilestone3[row] &lt;= numCategories +3, budgetMilestone3[row]-1, MOD(budgetMilestone3[row]-1,numCategories+3) + IF(MOD(budgetMilestone3[row]-2,numCategories+2)&gt;numCategories+1, 1,0))</calculatedColumnFormula>
    </tableColumn>
    <tableColumn id="3" name="director" dataDxfId="184">
      <calculatedColumnFormula>IFERROR(INDEX(directors[Last],MAX(1,FLOOR((budgetMilestone3[row]-1)/(numCategories+3)+1,1))),1)</calculatedColumnFormula>
    </tableColumn>
  </tableColumns>
  <tableStyleInfo name="TableStyleMedium9" showFirstColumn="0" showLastColumn="0" showRowStripes="1" showColumnStripes="0"/>
</table>
</file>

<file path=xl/tables/table23.xml><?xml version="1.0" encoding="utf-8"?>
<table xmlns="http://schemas.openxmlformats.org/spreadsheetml/2006/main" id="28" name="budgetMilestone3Overall" displayName="budgetMilestone3Overall" ref="I6:O15" totalsRowCount="1" headerRowDxfId="183" dataDxfId="182" totalsRowDxfId="181">
  <tableColumns count="7">
    <tableColumn id="1" name="Category" totalsRowLabel="Total" dataDxfId="180" totalsRowDxfId="179">
      <calculatedColumnFormula>INDEX(categories[Expense Categories],ROW()-ROW(budgetMilestone3Overall[#Headers]))</calculatedColumnFormula>
    </tableColumn>
    <tableColumn id="2" name="Milestone 1" totalsRowFunction="sum" dataDxfId="178" totalsRowDxfId="177">
      <calculatedColumnFormula>SUMIFS(budgetMilestone3[Milestone 1],budgetMilestone3[Category],budgetMilestone3Overall[[#This Row],[Category]],budgetMilestone3[director], "&lt;&gt;1")</calculatedColumnFormula>
    </tableColumn>
    <tableColumn id="3" name="Milestone 2" totalsRowFunction="sum" dataDxfId="176" totalsRowDxfId="175">
      <calculatedColumnFormula>SUMIFS(budgetMilestone3[Milestone 2],budgetMilestone3[Category],budgetMilestone3Overall[[#This Row],[Category]],budgetMilestone3[director], "&lt;&gt;1")</calculatedColumnFormula>
    </tableColumn>
    <tableColumn id="4" name="Milestone 3" totalsRowFunction="sum" dataDxfId="174" totalsRowDxfId="173">
      <calculatedColumnFormula>SUMIFS(budgetMilestone3[Milestone 3],budgetMilestone3[Category],budgetMilestone3Overall[[#This Row],[Category]],budgetMilestone3[director], "&lt;&gt;1")</calculatedColumnFormula>
    </tableColumn>
    <tableColumn id="5" name="Milestone 4" totalsRowFunction="sum" dataDxfId="172" totalsRowDxfId="171">
      <calculatedColumnFormula>SUMIFS(budgetMilestone3[Milestone 4],budgetMilestone3[Category],budgetMilestone3Overall[[#This Row],[Category]],budgetMilestone3[director], "&lt;&gt;1")</calculatedColumnFormula>
    </tableColumn>
    <tableColumn id="6" name="Final" totalsRowFunction="sum" dataDxfId="170" totalsRowDxfId="169">
      <calculatedColumnFormula>SUMIFS(budgetMilestone3[Final],budgetMilestone3[Category],budgetMilestone3Overall[[#This Row],[Category]],budgetMilestone3[director], "&lt;&gt;1")</calculatedColumnFormula>
    </tableColumn>
    <tableColumn id="7" name="Total" totalsRowFunction="sum" dataDxfId="168" totalsRowDxfId="167">
      <calculatedColumnFormula>SUM(budgetMilestone3Overall[[#This Row],[Milestone 1]:[Final]])</calculatedColumnFormula>
    </tableColumn>
  </tableColumns>
  <tableStyleInfo name="TableStyleMedium9" showFirstColumn="0" showLastColumn="0" showRowStripes="1" showColumnStripes="0"/>
</table>
</file>

<file path=xl/tables/table24.xml><?xml version="1.0" encoding="utf-8"?>
<table xmlns="http://schemas.openxmlformats.org/spreadsheetml/2006/main" id="29" name="budgetMilestone4" displayName="budgetMilestone4" ref="I17:R126" totalsRowShown="0" headerRowDxfId="158" dataDxfId="157">
  <tableColumns count="10">
    <tableColumn id="4" name="Category" dataDxfId="156">
      <calculatedColumnFormula>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calculatedColumnFormula>
    </tableColumn>
    <tableColumn id="5" name="Milestone 1" dataDxfId="155">
      <calculatedColumnFormula>budgetMilestone1[[#This Row],[Milestone 1]]</calculatedColumnFormula>
    </tableColumn>
    <tableColumn id="6" name="Milestone 2" dataDxfId="154">
      <calculatedColumnFormula>budgetMilestone2[[#This Row],[Milestone 2]]</calculatedColumnFormula>
    </tableColumn>
    <tableColumn id="7" name="Milestone 3" dataDxfId="153">
      <calculatedColumnFormula>budgetMilestone3[[#This Row],[Milestone 3]]</calculatedColumnFormula>
    </tableColumn>
    <tableColumn id="8" name="Milestone 4" dataDxfId="152"/>
    <tableColumn id="9" name="Final" dataDxfId="151"/>
    <tableColumn id="10" name="Total" dataDxfId="150">
      <calculatedColumnFormula>SUM(budgetMilestone4[[#This Row],[Milestone 1]:[Final]])</calculatedColumnFormula>
    </tableColumn>
    <tableColumn id="1" name="row" dataDxfId="149">
      <calculatedColumnFormula>ROW()-ROW(budgetMilestone4[#Headers])</calculatedColumnFormula>
    </tableColumn>
    <tableColumn id="2" name="catIndex" dataDxfId="148">
      <calculatedColumnFormula>IF(budgetMilestone4[row] &lt;= numCategories +3, budgetMilestone4[row]-1, MOD(budgetMilestone4[row]-1,numCategories+3) + IF(MOD(budgetMilestone4[row]-2,numCategories+2)&gt;numCategories+1, 1,0))</calculatedColumnFormula>
    </tableColumn>
    <tableColumn id="3" name="director" dataDxfId="147">
      <calculatedColumnFormula>IFERROR(INDEX(directors[Last],MAX(1,FLOOR((budgetMilestone4[row]-1)/(numCategories+3)+1,1))),1)</calculatedColumnFormula>
    </tableColumn>
  </tableColumns>
  <tableStyleInfo name="TableStyleMedium9" showFirstColumn="0" showLastColumn="0" showRowStripes="1" showColumnStripes="0"/>
</table>
</file>

<file path=xl/tables/table25.xml><?xml version="1.0" encoding="utf-8"?>
<table xmlns="http://schemas.openxmlformats.org/spreadsheetml/2006/main" id="30" name="budgetMilestone4Overall" displayName="budgetMilestone4Overall" ref="I6:O15" totalsRowCount="1" headerRowDxfId="146" dataDxfId="145" totalsRowDxfId="144">
  <tableColumns count="7">
    <tableColumn id="1" name="Category" totalsRowLabel="Total" dataDxfId="143" totalsRowDxfId="142">
      <calculatedColumnFormula>INDEX(categories[Expense Categories],ROW()-ROW(budgetMilestone4Overall[#Headers]))</calculatedColumnFormula>
    </tableColumn>
    <tableColumn id="2" name="Milestone 1" totalsRowFunction="sum" dataDxfId="141" totalsRowDxfId="140">
      <calculatedColumnFormula>SUMIFS(budgetMilestone4[Milestone 1],budgetMilestone4[Category],budgetMilestone4Overall[[#This Row],[Category]],budgetMilestone4[director], "&lt;&gt;1")</calculatedColumnFormula>
    </tableColumn>
    <tableColumn id="3" name="Milestone 2" totalsRowFunction="sum" dataDxfId="139" totalsRowDxfId="138">
      <calculatedColumnFormula>SUMIFS(budgetMilestone4[Milestone 2],budgetMilestone4[Category],budgetMilestone4Overall[[#This Row],[Category]],budgetMilestone4[director], "&lt;&gt;1")</calculatedColumnFormula>
    </tableColumn>
    <tableColumn id="4" name="Milestone 3" totalsRowFunction="sum" dataDxfId="137" totalsRowDxfId="136">
      <calculatedColumnFormula>SUMIFS(budgetMilestone4[Milestone 3],budgetMilestone4[Category],budgetMilestone4Overall[[#This Row],[Category]],budgetMilestone4[director], "&lt;&gt;1")</calculatedColumnFormula>
    </tableColumn>
    <tableColumn id="5" name="Milestone 4" totalsRowFunction="sum" dataDxfId="135" totalsRowDxfId="134">
      <calculatedColumnFormula>SUMIFS(budgetMilestone4[Milestone 4],budgetMilestone4[Category],budgetMilestone4Overall[[#This Row],[Category]],budgetMilestone4[director], "&lt;&gt;1")</calculatedColumnFormula>
    </tableColumn>
    <tableColumn id="6" name="Final" totalsRowFunction="sum" dataDxfId="133" totalsRowDxfId="132">
      <calculatedColumnFormula>SUMIFS(budgetMilestone4[Final],budgetMilestone4[Category],budgetMilestone4Overall[[#This Row],[Category]],budgetMilestone4[director], "&lt;&gt;1")</calculatedColumnFormula>
    </tableColumn>
    <tableColumn id="7" name="Total" totalsRowFunction="sum" dataDxfId="131" totalsRowDxfId="130">
      <calculatedColumnFormula>SUM(budgetMilestone4Overall[[#This Row],[Milestone 1]:[Final]])</calculatedColumnFormula>
    </tableColumn>
  </tableColumns>
  <tableStyleInfo name="TableStyleMedium9" showFirstColumn="0" showLastColumn="0" showRowStripes="1" showColumnStripes="0"/>
</table>
</file>

<file path=xl/tables/table26.xml><?xml version="1.0" encoding="utf-8"?>
<table xmlns="http://schemas.openxmlformats.org/spreadsheetml/2006/main" id="22" name="budgetFinal" displayName="budgetFinal" ref="I17:R126" totalsRowShown="0" headerRowDxfId="115" dataDxfId="114">
  <tableColumns count="10">
    <tableColumn id="4" name="Category" dataDxfId="113">
      <calculatedColumnFormula>IF(budgetFinal[catIndex]=0, budgetFinal[director] &amp; " / " &amp; INDEX(directors[Country],MAX(1,FLOOR((budgetFinal[row]-2)/(numCategories+2)+1,1))), IF(budgetFinal[catIndex]= numCategories + 1, "Subtotal " &amp; budgetFinal[director], IF(budgetFinal[catIndex] = numCategories + 2, "", IFERROR(INDEX(categories[],budgetFinal[catIndex]), ""))))</calculatedColumnFormula>
    </tableColumn>
    <tableColumn id="5" name="Milestone 1" dataDxfId="112">
      <calculatedColumnFormula>budgetMilestone1[[#This Row],[Milestone 1]]</calculatedColumnFormula>
    </tableColumn>
    <tableColumn id="6" name="Milestone 2" dataDxfId="111">
      <calculatedColumnFormula>budgetMilestone2[[#This Row],[Milestone 2]]</calculatedColumnFormula>
    </tableColumn>
    <tableColumn id="7" name="Milestone 3" dataDxfId="110">
      <calculatedColumnFormula>budgetMilestone3[[#This Row],[Milestone 3]]</calculatedColumnFormula>
    </tableColumn>
    <tableColumn id="8" name="Milestone 4" dataDxfId="109">
      <calculatedColumnFormula>budgetMilestone4[[#This Row],[Milestone 4]]</calculatedColumnFormula>
    </tableColumn>
    <tableColumn id="9" name="Final" dataDxfId="108"/>
    <tableColumn id="10" name="Total" dataDxfId="107">
      <calculatedColumnFormula>SUM(budgetFinal[[#This Row],[Milestone 1]:[Final]])</calculatedColumnFormula>
    </tableColumn>
    <tableColumn id="1" name="row" dataDxfId="106">
      <calculatedColumnFormula>ROW()-ROW(budgetFinal[#Headers])</calculatedColumnFormula>
    </tableColumn>
    <tableColumn id="2" name="catIndex" dataDxfId="105">
      <calculatedColumnFormula>IF(budgetFinal[row] &lt;= numCategories +3, budgetFinal[row]-1, MOD(budgetFinal[row]-1,numCategories+3) + IF(MOD(budgetFinal[row]-2,numCategories+2)&gt;numCategories+1, 1,0))</calculatedColumnFormula>
    </tableColumn>
    <tableColumn id="3" name="director" dataDxfId="104">
      <calculatedColumnFormula>IFERROR(INDEX(directors[Last],MAX(1,FLOOR((budgetFinal[row]-1)/(numCategories+3)+1,1))),1)</calculatedColumnFormula>
    </tableColumn>
  </tableColumns>
  <tableStyleInfo name="TableStyleMedium9" showFirstColumn="0" showLastColumn="0" showRowStripes="1" showColumnStripes="0"/>
</table>
</file>

<file path=xl/tables/table27.xml><?xml version="1.0" encoding="utf-8"?>
<table xmlns="http://schemas.openxmlformats.org/spreadsheetml/2006/main" id="23" name="budgetFinalOverall" displayName="budgetFinalOverall" ref="I6:O15" totalsRowCount="1" headerRowDxfId="103" dataDxfId="102" totalsRowDxfId="101">
  <tableColumns count="7">
    <tableColumn id="1" name="Category" totalsRowLabel="Total" dataDxfId="100" totalsRowDxfId="99">
      <calculatedColumnFormula>INDEX(categories[Expense Categories],ROW()-ROW(budgetFinalOverall[#Headers]))</calculatedColumnFormula>
    </tableColumn>
    <tableColumn id="2" name="Milestone 1" totalsRowFunction="sum" dataDxfId="98" totalsRowDxfId="97">
      <calculatedColumnFormula>SUMIFS(budgetFinal[Milestone 1],budgetFinal[Category],budgetFinalOverall[[#This Row],[Category]],budgetFinal[director], "&lt;&gt;1")</calculatedColumnFormula>
    </tableColumn>
    <tableColumn id="3" name="Milestone 2" totalsRowFunction="sum" dataDxfId="96" totalsRowDxfId="95">
      <calculatedColumnFormula>SUMIFS(budgetFinal[Milestone 2],budgetFinal[Category],budgetFinalOverall[[#This Row],[Category]],budgetFinal[director], "&lt;&gt;1")</calculatedColumnFormula>
    </tableColumn>
    <tableColumn id="4" name="Milestone 3" totalsRowFunction="sum" dataDxfId="94" totalsRowDxfId="93">
      <calculatedColumnFormula>SUMIFS(budgetFinal[Milestone 3],budgetFinal[Category],budgetFinalOverall[[#This Row],[Category]],budgetFinal[director], "&lt;&gt;1")</calculatedColumnFormula>
    </tableColumn>
    <tableColumn id="5" name="Milestone 4" totalsRowFunction="sum" dataDxfId="92" totalsRowDxfId="91">
      <calculatedColumnFormula>SUMIFS(budgetFinal[Milestone 4],budgetFinal[Category],budgetFinalOverall[[#This Row],[Category]],budgetFinal[director], "&lt;&gt;1")</calculatedColumnFormula>
    </tableColumn>
    <tableColumn id="6" name="Final" totalsRowFunction="sum" dataDxfId="90" totalsRowDxfId="89">
      <calculatedColumnFormula>SUMIFS(budgetFinal[Final],budgetFinal[Category],budgetFinalOverall[[#This Row],[Category]],budgetFinal[director], "&lt;&gt;1")</calculatedColumnFormula>
    </tableColumn>
    <tableColumn id="7" name="Total" totalsRowFunction="sum" dataDxfId="88" totalsRowDxfId="87">
      <calculatedColumnFormula>SUM(budgetFinalOverall[[#This Row],[Milestone 1]:[Final]])</calculatedColumnFormula>
    </tableColumn>
  </tableColumns>
  <tableStyleInfo name="TableStyleMedium9" showFirstColumn="0" showLastColumn="0" showRowStripes="1" showColumnStripes="0"/>
</table>
</file>

<file path=xl/tables/table28.xml><?xml version="1.0" encoding="utf-8"?>
<table xmlns="http://schemas.openxmlformats.org/spreadsheetml/2006/main" id="12" name="Table12" displayName="Table12" ref="A2:H99" totalsRowShown="0" headerRowDxfId="84" dataDxfId="83">
  <autoFilter ref="A2:H99">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name="SPS Label Number" dataDxfId="82"/>
    <tableColumn id="2" name="Description" dataDxfId="81"/>
    <tableColumn id="3" name="Manufacturer" dataDxfId="80"/>
    <tableColumn id="4" name="Model" dataDxfId="79"/>
    <tableColumn id="5" name="Serial Number" dataDxfId="78"/>
    <tableColumn id="6" name="Date of Purchase" dataDxfId="77"/>
    <tableColumn id="7" name="Cost" dataDxfId="76"/>
    <tableColumn id="8" name="Location_x000a_(Country/Institute/Room, etc)" dataDxfId="75"/>
  </tableColumns>
  <tableStyleInfo name="TableStyleMedium9" showFirstColumn="0" showLastColumn="0" showRowStripes="1" showColumnStripes="0"/>
</table>
</file>

<file path=xl/tables/table29.xml><?xml version="1.0" encoding="utf-8"?>
<table xmlns="http://schemas.openxmlformats.org/spreadsheetml/2006/main" id="3" name="summaryByDirector" displayName="summaryByDirector" ref="A19:N30" totalsRowCount="1" headerRowDxfId="72" dataDxfId="71">
  <tableColumns count="14">
    <tableColumn id="10" name="Role" totalsRowLabel="Total" dataDxfId="70" totalsRowDxfId="69">
      <calculatedColumnFormula>IFERROR(INDEX(directors[Role],ROW(summaryByDirector[#This Row])-ROW(summaryByDirector[#Headers])),"")</calculatedColumnFormula>
    </tableColumn>
    <tableColumn id="1" name="Name" totalsRowLabel="Totals" totalsRowDxfId="68">
      <calculatedColumnFormula>IFERROR(INDEX(directors[Last],ROW(summaryByDirector[#This Row])-ROW(summaryByDirector[#Headers])),"")</calculatedColumnFormula>
    </tableColumn>
    <tableColumn id="9" name="Budget to Date" totalsRowFunction="sum" dataDxfId="67" totalsRowDxfId="66">
      <calculatedColumnFormula xml:space="preserve"> summaryByDirector[[#This Row],[Budget Kickoff]] * (dateReport &gt; cleanDateKickoff) + summaryByDirector[[#This Row],[Budget Initial]] *(dateReport &gt; cleanDateMilestone1) + summaryByDirector[[#This Row],[Budget Milestone 1]] * (dateReport &gt; cleanDateMilestone2) +  summaryByDirector[[#This Row],[Budget Milestone 2]] * (dateReport&gt;cleanDateMilestone3) +  summaryByDirector[[#This Row],[Budget Milestone 3]] *(dateReport &gt; cleanDateMilestone4)</calculatedColumnFormula>
    </tableColumn>
    <tableColumn id="8" name="Spend to Date" totalsRowFunction="sum" dataDxfId="65" totalsRowDxfId="64">
      <calculatedColumnFormula>SUMIFS(ARF[Amount in Euro], ARF[Co Director],summaryByDirector[Name], ARF[Date], "&lt;=" &amp; dateReport)</calculatedColumnFormula>
    </tableColumn>
    <tableColumn id="11" name="Budget Kickoff" totalsRowFunction="sum" dataDxfId="63" totalsRowDxfId="62">
      <calculatedColumnFormula>IFERROR(INDEX(budgetSummary[Milestone 1],MATCH("Subtotal " &amp; summaryByDirector[[#This Row],[Name]], budgetSummary[Category],0)),0)</calculatedColumnFormula>
    </tableColumn>
    <tableColumn id="12" name="Spend K to I" totalsRowFunction="sum" dataDxfId="61" totalsRowDxfId="60">
      <calculatedColumnFormula>SUMIFS(ARF[Amount in Euro], ARF[Co Director],summaryByDirector[Name], ARF[Date], "&gt;" &amp; cleanDateKickoff,ARF[Date], "&lt;=" &amp; cleanDateMilestone1)</calculatedColumnFormula>
    </tableColumn>
    <tableColumn id="2" name="Budget Initial" totalsRowFunction="sum" dataDxfId="59" totalsRowDxfId="58">
      <calculatedColumnFormula>IFERROR(INDEX(#REF!,MATCH("Subtotal " &amp; summaryByDirector[[#This Row],[Name]],#REF!, 0)),0)</calculatedColumnFormula>
    </tableColumn>
    <tableColumn id="3" name="Spend I to M1" totalsRowFunction="sum" dataDxfId="57" totalsRowDxfId="56">
      <calculatedColumnFormula>SUMIFS(ARF[Amount in Euro], ARF[Co Director],summaryByDirector[Name], ARF[Date], "&gt;" &amp; cleanDateMilestone1,ARF[Date], "&lt;=" &amp; cleanDateMilestone2)</calculatedColumnFormula>
    </tableColumn>
    <tableColumn id="4" name="Budget Milestone 1" totalsRowFunction="sum" dataDxfId="55" totalsRowDxfId="54">
      <calculatedColumnFormula>IFERROR(INDEX(#REF!,MATCH("Subtotal " &amp; summaryByDirector[[#This Row],[Name]],#REF!, 0)),0)</calculatedColumnFormula>
    </tableColumn>
    <tableColumn id="5" name="Spend M1 to M2" totalsRowFunction="sum" dataDxfId="53" totalsRowDxfId="52">
      <calculatedColumnFormula>SUMIFS(ARF[Amount in Euro], ARF[Co Director],summaryByDirector[Name], ARF[Date], "&gt;" &amp; cleanDateMilestone2,ARF[Date], "&lt;=" &amp; cleanDateMilestone3)</calculatedColumnFormula>
    </tableColumn>
    <tableColumn id="6" name="Budget Milestone 2" totalsRowFunction="sum" dataDxfId="51" totalsRowDxfId="50">
      <calculatedColumnFormula>IFERROR(INDEX(#REF!,MATCH("Subtotal " &amp; summaryByDirector[[#This Row],[Name]],#REF!, 0)),0)</calculatedColumnFormula>
    </tableColumn>
    <tableColumn id="7" name="Spend M2 to M3" totalsRowFunction="sum" dataDxfId="49" totalsRowDxfId="48">
      <calculatedColumnFormula>SUMIFS(ARF[Amount in Euro], ARF[Co Director],summaryByDirector[Name], ARF[Date], "&gt;" &amp; cleanDateMilestone3,ARF[Date], "&lt;=" &amp; cleanDateMilestone4)</calculatedColumnFormula>
    </tableColumn>
    <tableColumn id="14" name="Budget Milestone 3" totalsRowFunction="sum" dataDxfId="47" totalsRowDxfId="46">
      <calculatedColumnFormula>IFERROR(INDEX(#REF!,MATCH("Subtotal " &amp; summaryByDirector[[#This Row],[Name]],#REF!, 0)),0)</calculatedColumnFormula>
    </tableColumn>
    <tableColumn id="13" name="Spend M3 to Final" totalsRowFunction="sum" dataDxfId="45" totalsRowDxfId="44">
      <calculatedColumnFormula xml:space="preserve"> SUMIFS(ARF[Amount in Euro], ARF[Co Director],summaryByDirector[Name], ARF[Date], "&gt;" &amp; cleanDateMilestone4)</calculatedColumnFormula>
    </tableColumn>
  </tableColumns>
  <tableStyleInfo name="TableStyleMedium10" showFirstColumn="0" showLastColumn="0" showRowStripes="1" showColumnStripes="0"/>
</table>
</file>

<file path=xl/tables/table3.xml><?xml version="1.0" encoding="utf-8"?>
<table xmlns="http://schemas.openxmlformats.org/spreadsheetml/2006/main" id="18" name="budgetNPD" displayName="budgetNPD" ref="A6:F52" totalsRowShown="0" headerRowDxfId="499" headerRowBorderDxfId="498" tableBorderDxfId="497">
  <tableColumns count="6">
    <tableColumn id="1" name="Category" dataDxfId="496"/>
    <tableColumn id="2" name="Milestone 1"/>
    <tableColumn id="3" name="Milestone 2"/>
    <tableColumn id="4" name="Milestone 3"/>
    <tableColumn id="5" name="Milestone 4"/>
    <tableColumn id="6" name="Final"/>
  </tableColumns>
  <tableStyleInfo name="TableStyleMedium9" showFirstColumn="0" showLastColumn="0" showRowStripes="1" showColumnStripes="0"/>
</table>
</file>

<file path=xl/tables/table30.xml><?xml version="1.0" encoding="utf-8"?>
<table xmlns="http://schemas.openxmlformats.org/spreadsheetml/2006/main" id="20" name="summaryByCategory" displayName="summaryByCategory" ref="B40:N50" totalsRowCount="1" headerRowDxfId="43" dataDxfId="41" totalsRowDxfId="39" headerRowBorderDxfId="42" tableBorderDxfId="40">
  <tableColumns count="13">
    <tableColumn id="1" name="Category" totalsRowLabel="Total" dataDxfId="38">
      <calculatedColumnFormula>IFERROR(INDEX(expense_categories,ROW(summaryByCategory[#This Row])-ROW(summaryByCategory[#Headers])),"")</calculatedColumnFormula>
    </tableColumn>
    <tableColumn id="2" name="Budget to Date" totalsRowFunction="sum" dataDxfId="37">
      <calculatedColumnFormula>summaryByCategory[[#This Row],[Budget Kickoff]] * (dateReport &gt; dateKickoff) + summaryByCategory[[#This Row],[Budget Initial]] * (dateReport &gt; dateMilestone1) +summaryByCategory[[#This Row],[Budget Milestone 1]] * (dateReport &gt; dateMilestone2) + summaryByCategory[[#This Row],[Budget Milestone 2]] * (dateReport&gt;dateMilestone3) +  summaryByCategory[[#This Row],[Budget Milestone 3]] * (dateReport &gt; dateMilestone4)</calculatedColumnFormula>
    </tableColumn>
    <tableColumn id="3" name="Spend to Date" totalsRowFunction="sum" dataDxfId="36">
      <calculatedColumnFormula>SUMIFS(ARF[Amount in Euro], ARF[Category],summaryByCategory[Category],ARF[Date], "&lt;=" &amp; dateReport)</calculatedColumnFormula>
    </tableColumn>
    <tableColumn id="4" name="Budget Kickoff" totalsRowFunction="sum" dataDxfId="35">
      <calculatedColumnFormula>SUMIFS(budgetSummary[Milestone 1],budgetSummary[Category], summaryByCategory[[#This Row],[Category]], budgetSummary[director], "&lt;&gt;1")</calculatedColumnFormula>
    </tableColumn>
    <tableColumn id="5" name="Spend K to I" totalsRowFunction="sum" dataDxfId="34">
      <calculatedColumnFormula>SUMIFS(ARF[Amount in Euro], ARF[Category],summaryByCategory[Category], ARF[Date], "&gt;=" &amp; cleanDateKickoff,ARF[Date], "&lt;=" &amp; cleanDateMilestone1)</calculatedColumnFormula>
    </tableColumn>
    <tableColumn id="6" name="Budget Initial" totalsRowFunction="sum" dataDxfId="33">
      <calculatedColumnFormula>SUMIFS(#REF!,#REF!, summaryByCategory[[#This Row],[Category]],#REF!, "&lt;&gt;1")</calculatedColumnFormula>
    </tableColumn>
    <tableColumn id="7" name="Spend I to M1" totalsRowFunction="sum" dataDxfId="32">
      <calculatedColumnFormula>SUMIFS(ARF[Amount in Euro], ARF[Category],summaryByCategory[Category], ARF[Date], "&gt;" &amp; cleanDateMilestone1,ARF[Date], "&lt;=" &amp; cleanDateMilestone2)</calculatedColumnFormula>
    </tableColumn>
    <tableColumn id="8" name="Budget Milestone 1" totalsRowFunction="sum" dataDxfId="31">
      <calculatedColumnFormula>SUMIFS(#REF!,#REF!, summaryByCategory[[#This Row],[Category]],#REF!, "&lt;&gt;1")</calculatedColumnFormula>
    </tableColumn>
    <tableColumn id="9" name="Spend M1 to M2" totalsRowFunction="sum" dataDxfId="30">
      <calculatedColumnFormula>SUMIFS(ARF[Amount in Euro], ARF[Category],summaryByCategory[Category], ARF[Date], "&gt;" &amp; cleanDateMilestone2,ARF[Date], "&lt;=" &amp; cleanDateMilestone3)</calculatedColumnFormula>
    </tableColumn>
    <tableColumn id="10" name="Budget Milestone 2" totalsRowFunction="sum" dataDxfId="29">
      <calculatedColumnFormula>SUMIFS(#REF!,#REF!, summaryByCategory[[#This Row],[Category]],#REF!, "&lt;&gt;1")</calculatedColumnFormula>
    </tableColumn>
    <tableColumn id="11" name="Spend M2 to M3" totalsRowFunction="sum" dataDxfId="28">
      <calculatedColumnFormula>SUMIFS(ARF[Amount in Euro], ARF[Category],summaryByCategory[Category], ARF[Date], "&gt;" &amp; CLEAN(dateMilestone3),ARF[Date], "&lt;=" &amp; cleanDateMilestone4)</calculatedColumnFormula>
    </tableColumn>
    <tableColumn id="12" name="Budget Milestone 3" totalsRowFunction="sum" dataDxfId="27">
      <calculatedColumnFormula>SUMIFS(#REF!,#REF!, summaryByCategory[[#This Row],[Category]],#REF!, "&lt;&gt;1")</calculatedColumnFormula>
    </tableColumn>
    <tableColumn id="13" name="Spend M3 to Final" totalsRowFunction="sum" dataDxfId="26">
      <calculatedColumnFormula>SUMIFS(ARF[Amount in Euro], ARF[Category],summaryByCategory[Category], ARF[Date], "&gt;" &amp; cleanDateMilestone4,ARF[Date], "&lt;=" &amp; cleanDateFinal)</calculatedColumnFormula>
    </tableColumn>
  </tableColumns>
  <tableStyleInfo name="TableStyleMedium10" showFirstColumn="0" showLastColumn="0" showRowStripes="1" showColumnStripes="0"/>
</table>
</file>

<file path=xl/tables/table31.xml><?xml version="1.0" encoding="utf-8"?>
<table xmlns="http://schemas.openxmlformats.org/spreadsheetml/2006/main" id="2" name="currency" displayName="currency" ref="A1:C149" totalsRowShown="0" headerRowDxfId="25" dataDxfId="24">
  <tableColumns count="3">
    <tableColumn id="1" name="Status" dataDxfId="23"/>
    <tableColumn id="2" name="Code" dataDxfId="22"/>
    <tableColumn id="3" name="Currency" dataDxfId="21"/>
  </tableColumns>
  <tableStyleInfo name="TableStyleMedium9" showFirstColumn="0" showLastColumn="0" showRowStripes="1" showColumnStripes="0"/>
</table>
</file>

<file path=xl/tables/table32.xml><?xml version="1.0" encoding="utf-8"?>
<table xmlns="http://schemas.openxmlformats.org/spreadsheetml/2006/main" id="6" name="NATOCountries" displayName="NATOCountries" ref="E1:E34" totalsRowShown="0" headerRowDxfId="20" dataDxfId="19">
  <tableColumns count="1">
    <tableColumn id="1" name="NATO Countries" dataDxfId="18"/>
  </tableColumns>
  <tableStyleInfo name="TableStyleMedium9" showFirstColumn="0" showLastColumn="0" showRowStripes="1" showColumnStripes="0"/>
</table>
</file>

<file path=xl/tables/table33.xml><?xml version="1.0" encoding="utf-8"?>
<table xmlns="http://schemas.openxmlformats.org/spreadsheetml/2006/main" id="7" name="partnerCountries" displayName="partnerCountries" ref="G1:G40" totalsRowShown="0" headerRowDxfId="17" dataDxfId="16">
  <tableColumns count="1">
    <tableColumn id="1" name="Partner Countries" dataDxfId="15"/>
  </tableColumns>
  <tableStyleInfo name="TableStyleMedium9" showFirstColumn="0" showLastColumn="0" showRowStripes="1" showColumnStripes="0"/>
</table>
</file>

<file path=xl/tables/table34.xml><?xml version="1.0" encoding="utf-8"?>
<table xmlns="http://schemas.openxmlformats.org/spreadsheetml/2006/main" id="8" name="yesNo" displayName="yesNo" ref="I1:I3" totalsRowShown="0" headerRowDxfId="14" dataDxfId="13">
  <tableColumns count="1">
    <tableColumn id="1" name="YesNo" dataDxfId="12"/>
  </tableColumns>
  <tableStyleInfo name="TableStyleMedium9" showFirstColumn="0" showLastColumn="0" showRowStripes="1" showColumnStripes="0"/>
</table>
</file>

<file path=xl/tables/table35.xml><?xml version="1.0" encoding="utf-8"?>
<table xmlns="http://schemas.openxmlformats.org/spreadsheetml/2006/main" id="10" name="categories" displayName="categories" ref="K1:K9" totalsRowShown="0" headerRowDxfId="11" dataDxfId="10">
  <tableColumns count="1">
    <tableColumn id="1" name="Expense Categories" dataDxfId="9"/>
  </tableColumns>
  <tableStyleInfo name="TableStyleMedium9" showFirstColumn="0" showLastColumn="0" showRowStripes="1" showColumnStripes="0"/>
</table>
</file>

<file path=xl/tables/table36.xml><?xml version="1.0" encoding="utf-8"?>
<table xmlns="http://schemas.openxmlformats.org/spreadsheetml/2006/main" id="21" name="allCountries" displayName="allCountries" ref="I6:I80" totalsRowShown="0" headerRowDxfId="8" dataDxfId="7">
  <tableColumns count="1">
    <tableColumn id="1" name="AllCountries" dataDxfId="6"/>
  </tableColumns>
  <tableStyleInfo name="TableStyleMedium9" showFirstColumn="0" showLastColumn="0" showRowStripes="1" showColumnStripes="0"/>
</table>
</file>

<file path=xl/tables/table37.xml><?xml version="1.0" encoding="utf-8"?>
<table xmlns="http://schemas.openxmlformats.org/spreadsheetml/2006/main" id="42" name="milestones" displayName="milestones" ref="K14:K20" totalsRowShown="0" headerRowDxfId="5" dataDxfId="4">
  <tableColumns count="1">
    <tableColumn id="1" name="Milestones" dataDxfId="3"/>
  </tableColumns>
  <tableStyleInfo name="TableStyleMedium9" showFirstColumn="0" showLastColumn="0" showRowStripes="1" showColumnStripes="0"/>
</table>
</file>

<file path=xl/tables/table38.xml><?xml version="1.0" encoding="utf-8"?>
<table xmlns="http://schemas.openxmlformats.org/spreadsheetml/2006/main" id="32" name="IPRStatus" displayName="IPRStatus" ref="K23:K26" totalsRowShown="0" headerRowDxfId="2" dataDxfId="1">
  <tableColumns count="1">
    <tableColumn id="1" name="IPR Status" dataDxfId="0"/>
  </tableColumns>
  <tableStyleInfo name="TableStyleMedium9" showFirstColumn="0" showLastColumn="0" showRowStripes="1" showColumnStripes="0"/>
</table>
</file>

<file path=xl/tables/table4.xml><?xml version="1.0" encoding="utf-8"?>
<table xmlns="http://schemas.openxmlformats.org/spreadsheetml/2006/main" id="39" name="budgetPPD" displayName="budgetPPD" ref="A59:F105" totalsRowShown="0" headerRowDxfId="495" headerRowBorderDxfId="494" tableBorderDxfId="493">
  <tableColumns count="6">
    <tableColumn id="1" name="Category" dataDxfId="492"/>
    <tableColumn id="2" name="Milestone 1"/>
    <tableColumn id="3" name="Milestone 2"/>
    <tableColumn id="4" name="Milestone 3"/>
    <tableColumn id="5" name="Milestone 4"/>
    <tableColumn id="6" name="Final"/>
  </tableColumns>
  <tableStyleInfo name="TableStyleMedium9" showFirstColumn="0" showLastColumn="0" showRowStripes="1" showColumnStripes="0"/>
</table>
</file>

<file path=xl/tables/table5.xml><?xml version="1.0" encoding="utf-8"?>
<table xmlns="http://schemas.openxmlformats.org/spreadsheetml/2006/main" id="40" name="budgetCoA" displayName="budgetCoA" ref="A112:F157" totalsRowShown="0" headerRowDxfId="491" headerRowBorderDxfId="490" tableBorderDxfId="489">
  <tableColumns count="6">
    <tableColumn id="1" name="Category" dataDxfId="488"/>
    <tableColumn id="2" name="Milestone 1"/>
    <tableColumn id="3" name="Milestone 2"/>
    <tableColumn id="4" name="Milestone 3"/>
    <tableColumn id="5" name="Milestone 4"/>
    <tableColumn id="6" name="Final"/>
  </tableColumns>
  <tableStyleInfo name="TableStyleMedium9" showFirstColumn="0" showLastColumn="0" showRowStripes="1" showColumnStripes="0"/>
</table>
</file>

<file path=xl/tables/table6.xml><?xml version="1.0" encoding="utf-8"?>
<table xmlns="http://schemas.openxmlformats.org/spreadsheetml/2006/main" id="41" name="budgetCoB" displayName="budgetCoB" ref="A164:F206" totalsRowShown="0" headerRowDxfId="487" headerRowBorderDxfId="486" tableBorderDxfId="485">
  <tableColumns count="6">
    <tableColumn id="1" name="Category" dataDxfId="484"/>
    <tableColumn id="2" name="Milestone 1"/>
    <tableColumn id="3" name="Milestone 2"/>
    <tableColumn id="4" name="Milestone 3"/>
    <tableColumn id="5" name="Milestone 4"/>
    <tableColumn id="6" name="Final"/>
  </tableColumns>
  <tableStyleInfo name="TableStyleMedium9" showFirstColumn="0" showLastColumn="0" showRowStripes="1" showColumnStripes="0"/>
</table>
</file>

<file path=xl/tables/table7.xml><?xml version="1.0" encoding="utf-8"?>
<table xmlns="http://schemas.openxmlformats.org/spreadsheetml/2006/main" id="43" name="budgetCoC" displayName="budgetCoC" ref="A213:F259" totalsRowShown="0" headerRowDxfId="483" headerRowBorderDxfId="482" tableBorderDxfId="481">
  <tableColumns count="6">
    <tableColumn id="1" name="Category" dataDxfId="480"/>
    <tableColumn id="2" name="Milestone 1"/>
    <tableColumn id="3" name="Milestone 2"/>
    <tableColumn id="4" name="Milestone 3"/>
    <tableColumn id="5" name="Milestone 4"/>
    <tableColumn id="6" name="Final"/>
  </tableColumns>
  <tableStyleInfo name="TableStyleMedium9" showFirstColumn="0" showLastColumn="0" showRowStripes="1" showColumnStripes="0"/>
</table>
</file>

<file path=xl/tables/table8.xml><?xml version="1.0" encoding="utf-8"?>
<table xmlns="http://schemas.openxmlformats.org/spreadsheetml/2006/main" id="45" name="budgetCoD" displayName="budgetCoD" ref="A266:F308" totalsRowShown="0" headerRowDxfId="479" headerRowBorderDxfId="478" tableBorderDxfId="477">
  <tableColumns count="6">
    <tableColumn id="1" name="Category" dataDxfId="476"/>
    <tableColumn id="2" name="Milestone 1"/>
    <tableColumn id="3" name="Milestone 2"/>
    <tableColumn id="4" name="Milestone 3"/>
    <tableColumn id="5" name="Milestone 4"/>
    <tableColumn id="6" name="Final"/>
  </tableColumns>
  <tableStyleInfo name="TableStyleMedium9" showFirstColumn="0" showLastColumn="0" showRowStripes="1" showColumnStripes="0"/>
</table>
</file>

<file path=xl/tables/table9.xml><?xml version="1.0" encoding="utf-8"?>
<table xmlns="http://schemas.openxmlformats.org/spreadsheetml/2006/main" id="46" name="budgetCoE" displayName="budgetCoE" ref="A315:F357" totalsRowShown="0" headerRowDxfId="475" headerRowBorderDxfId="474" tableBorderDxfId="473">
  <tableColumns count="6">
    <tableColumn id="1" name="Category" dataDxfId="472"/>
    <tableColumn id="2" name="Milestone 1"/>
    <tableColumn id="3" name="Milestone 2"/>
    <tableColumn id="4" name="Milestone 3"/>
    <tableColumn id="5" name="Milestone 4"/>
    <tableColumn id="6" name="Final"/>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9.xml"/><Relationship Id="rId2" Type="http://schemas.openxmlformats.org/officeDocument/2006/relationships/drawing" Target="../drawings/drawing3.xml"/><Relationship Id="rId1" Type="http://schemas.openxmlformats.org/officeDocument/2006/relationships/printerSettings" Target="../printerSettings/printerSettings11.bin"/><Relationship Id="rId4" Type="http://schemas.openxmlformats.org/officeDocument/2006/relationships/table" Target="../tables/table3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3.xml.rels><?xml version="1.0" encoding="UTF-8" standalone="yes"?>
<Relationships xmlns="http://schemas.openxmlformats.org/package/2006/relationships"><Relationship Id="rId8" Type="http://schemas.openxmlformats.org/officeDocument/2006/relationships/table" Target="../tables/table37.xml"/><Relationship Id="rId3" Type="http://schemas.openxmlformats.org/officeDocument/2006/relationships/table" Target="../tables/table32.xml"/><Relationship Id="rId7" Type="http://schemas.openxmlformats.org/officeDocument/2006/relationships/table" Target="../tables/table36.xml"/><Relationship Id="rId2" Type="http://schemas.openxmlformats.org/officeDocument/2006/relationships/table" Target="../tables/table31.xml"/><Relationship Id="rId1" Type="http://schemas.openxmlformats.org/officeDocument/2006/relationships/printerSettings" Target="../printerSettings/printerSettings12.bin"/><Relationship Id="rId6" Type="http://schemas.openxmlformats.org/officeDocument/2006/relationships/table" Target="../tables/table35.xml"/><Relationship Id="rId5" Type="http://schemas.openxmlformats.org/officeDocument/2006/relationships/table" Target="../tables/table34.xml"/><Relationship Id="rId4" Type="http://schemas.openxmlformats.org/officeDocument/2006/relationships/table" Target="../tables/table33.xml"/><Relationship Id="rId9" Type="http://schemas.openxmlformats.org/officeDocument/2006/relationships/table" Target="../tables/table38.xml"/></Relationships>
</file>

<file path=xl/worksheets/_rels/sheet2.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2.bin"/><Relationship Id="rId6" Type="http://schemas.openxmlformats.org/officeDocument/2006/relationships/table" Target="../tables/table7.xml"/><Relationship Id="rId11" Type="http://schemas.openxmlformats.org/officeDocument/2006/relationships/table" Target="../tables/table12.xml"/><Relationship Id="rId5" Type="http://schemas.openxmlformats.org/officeDocument/2006/relationships/table" Target="../tables/table6.xml"/><Relationship Id="rId10" Type="http://schemas.openxmlformats.org/officeDocument/2006/relationships/table" Target="../tables/table11.xml"/><Relationship Id="rId4" Type="http://schemas.openxmlformats.org/officeDocument/2006/relationships/table" Target="../tables/table5.xml"/><Relationship Id="rId9" Type="http://schemas.openxmlformats.org/officeDocument/2006/relationships/table" Target="../tables/table10.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table" Target="../tables/table13.xml"/><Relationship Id="rId1" Type="http://schemas.openxmlformats.org/officeDocument/2006/relationships/printerSettings" Target="../printerSettings/printerSettings3.bin"/><Relationship Id="rId5" Type="http://schemas.openxmlformats.org/officeDocument/2006/relationships/table" Target="../tables/table16.xml"/><Relationship Id="rId4" Type="http://schemas.openxmlformats.org/officeDocument/2006/relationships/table" Target="../tables/table15.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table" Target="../tables/table1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table" Target="../tables/table20.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table" Target="../tables/table2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table" Target="../tables/table2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7.xml"/><Relationship Id="rId2" Type="http://schemas.openxmlformats.org/officeDocument/2006/relationships/table" Target="../tables/table2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4"/>
  <sheetViews>
    <sheetView showZeros="0" tabSelected="1" workbookViewId="0">
      <selection activeCell="C10" sqref="C10"/>
    </sheetView>
  </sheetViews>
  <sheetFormatPr defaultColWidth="9.140625" defaultRowHeight="12.75" x14ac:dyDescent="0.2"/>
  <cols>
    <col min="1" max="1" width="5" style="37" bestFit="1" customWidth="1"/>
    <col min="2" max="2" width="18.85546875" style="37" customWidth="1"/>
    <col min="3" max="3" width="17.5703125" style="37" customWidth="1"/>
    <col min="4" max="4" width="45.42578125" style="43" customWidth="1"/>
    <col min="5" max="5" width="28.7109375" style="37" customWidth="1"/>
    <col min="6" max="6" width="9.140625" style="37" hidden="1" customWidth="1"/>
    <col min="7" max="16384" width="9.140625" style="37"/>
  </cols>
  <sheetData>
    <row r="1" spans="1:6" ht="13.5" thickBot="1" x14ac:dyDescent="0.25">
      <c r="A1" s="182" t="s">
        <v>387</v>
      </c>
      <c r="B1" s="183"/>
      <c r="C1" s="170" t="s">
        <v>447</v>
      </c>
      <c r="D1" s="170" t="s">
        <v>400</v>
      </c>
      <c r="E1" s="170" t="s">
        <v>473</v>
      </c>
      <c r="F1" s="77"/>
    </row>
    <row r="2" spans="1:6" ht="24" customHeight="1" x14ac:dyDescent="0.2">
      <c r="A2" s="184"/>
      <c r="B2" s="185"/>
      <c r="C2" s="87"/>
      <c r="D2" s="88"/>
      <c r="E2" s="88"/>
      <c r="F2" s="78"/>
    </row>
    <row r="4" spans="1:6" ht="26.25" thickBot="1" x14ac:dyDescent="0.25">
      <c r="B4" s="20" t="s">
        <v>451</v>
      </c>
      <c r="C4" s="20" t="s">
        <v>488</v>
      </c>
    </row>
    <row r="5" spans="1:6" x14ac:dyDescent="0.2">
      <c r="B5" s="82"/>
      <c r="C5" s="83"/>
    </row>
    <row r="7" spans="1:6" ht="38.25" x14ac:dyDescent="0.2">
      <c r="B7" s="175" t="s">
        <v>441</v>
      </c>
      <c r="C7" s="39" t="s">
        <v>482</v>
      </c>
      <c r="D7" s="39" t="s">
        <v>448</v>
      </c>
      <c r="E7" s="175" t="s">
        <v>483</v>
      </c>
    </row>
    <row r="8" spans="1:6" x14ac:dyDescent="0.2">
      <c r="B8" s="40" t="str">
        <f>INDEX(milestones[],ROW(milestoneDates[#This Row])-ROW(milestoneDates[#Headers]) + 1)</f>
        <v>Milestone 1</v>
      </c>
      <c r="C8" s="37">
        <v>6</v>
      </c>
      <c r="D8" s="43" t="s">
        <v>449</v>
      </c>
      <c r="E8" s="80" t="str">
        <f>IF(kickoffDate &gt; 0,EDATE(kickoffDate,milestoneDates[[#This Row],[Expected Date (months post Kickoff)]]),"")</f>
        <v/>
      </c>
    </row>
    <row r="9" spans="1:6" x14ac:dyDescent="0.2">
      <c r="B9" s="40" t="str">
        <f>INDEX(milestones[],ROW(milestoneDates[#This Row])-ROW(milestoneDates[#Headers]) + 1)</f>
        <v>Milestone 2</v>
      </c>
      <c r="C9" s="44"/>
      <c r="D9" s="45"/>
      <c r="E9" s="80" t="str">
        <f>IF(kickoffDate &gt; 0,EDATE(kickoffDate,milestoneDates[[#This Row],[Expected Date (months post Kickoff)]]),"")</f>
        <v/>
      </c>
    </row>
    <row r="10" spans="1:6" x14ac:dyDescent="0.2">
      <c r="B10" s="40" t="str">
        <f>INDEX(milestones[],ROW(milestoneDates[#This Row])-ROW(milestoneDates[#Headers]) + 1)</f>
        <v>Milestone 3</v>
      </c>
      <c r="C10" s="44"/>
      <c r="D10" s="45"/>
      <c r="E10" s="80" t="str">
        <f>IF(kickoffDate &gt; 0,EDATE(kickoffDate,milestoneDates[[#This Row],[Expected Date (months post Kickoff)]]),"")</f>
        <v/>
      </c>
    </row>
    <row r="11" spans="1:6" x14ac:dyDescent="0.2">
      <c r="B11" s="40" t="str">
        <f>INDEX(milestones[],ROW(milestoneDates[#This Row])-ROW(milestoneDates[#Headers]) + 1)</f>
        <v>Milestone 4</v>
      </c>
      <c r="C11" s="44"/>
      <c r="D11" s="45"/>
      <c r="E11" s="80" t="str">
        <f>IF(kickoffDate &gt; 0,EDATE(kickoffDate,milestoneDates[[#This Row],[Expected Date (months post Kickoff)]]),"")</f>
        <v/>
      </c>
    </row>
    <row r="12" spans="1:6" x14ac:dyDescent="0.2">
      <c r="B12" s="40" t="str">
        <f>INDEX(milestones[],ROW(milestoneDates[#This Row])-ROW(milestoneDates[#Headers]) + 1)</f>
        <v>Final</v>
      </c>
      <c r="C12" s="37">
        <f>projectDuration</f>
        <v>0</v>
      </c>
      <c r="D12" s="43" t="s">
        <v>452</v>
      </c>
      <c r="E12" s="80" t="str">
        <f>IF(kickoffDate &gt; 0,EDATE(kickoffDate,milestoneDates[[#This Row],[Expected Date (months post Kickoff)]]),"")</f>
        <v/>
      </c>
    </row>
    <row r="13" spans="1:6" x14ac:dyDescent="0.2">
      <c r="B13" s="40"/>
    </row>
    <row r="14" spans="1:6" x14ac:dyDescent="0.2">
      <c r="A14" s="37" t="s">
        <v>314</v>
      </c>
      <c r="B14" s="37" t="s">
        <v>305</v>
      </c>
      <c r="C14" s="37" t="s">
        <v>306</v>
      </c>
      <c r="D14" s="43" t="s">
        <v>307</v>
      </c>
      <c r="E14" s="37" t="s">
        <v>308</v>
      </c>
      <c r="F14" s="37" t="s">
        <v>302</v>
      </c>
    </row>
    <row r="15" spans="1:6" ht="13.5" customHeight="1" x14ac:dyDescent="0.2">
      <c r="A15" s="41" t="str">
        <f>CHOOSE(ROW(directors[#This Row])-ROW(directors[#Headers]), "NPD", "PPD", "CoA", "CoB", "CoC", "CoD", "CoE", "CoF", "CoG", "CoH")</f>
        <v>NPD</v>
      </c>
      <c r="B15" s="44"/>
      <c r="C15" s="44"/>
      <c r="D15" s="45"/>
      <c r="E15" s="44"/>
      <c r="F15" s="46" t="str">
        <f>IF(OR(INDEX(natoCountryList=directors[[#This Row],[Country]],)),"NATO", IF(OR(INDEX(partnerCountryList=directors[[#This Row],[Country]],)),"Partner",""))</f>
        <v/>
      </c>
    </row>
    <row r="16" spans="1:6" x14ac:dyDescent="0.2">
      <c r="A16" s="41" t="str">
        <f>CHOOSE(ROW(directors[#This Row])-ROW(directors[#Headers]), "NPD", "PPD", "CoA", "CoB", "CoC", "CoD", "CoE", "CoF", "CoG", "CoH")</f>
        <v>PPD</v>
      </c>
      <c r="B16" s="44"/>
      <c r="C16" s="44"/>
      <c r="D16" s="45"/>
      <c r="E16" s="44"/>
      <c r="F16" s="46" t="str">
        <f>IF(OR(INDEX(natoCountryList=directors[[#This Row],[Country]],)),"NATO", IF(OR(INDEX(partnerCountryList=directors[[#This Row],[Country]],)),"Partner",""))</f>
        <v/>
      </c>
    </row>
    <row r="17" spans="1:6" x14ac:dyDescent="0.2">
      <c r="A17" s="124" t="str">
        <f>CHOOSE(ROW(directors[#This Row])-ROW(directors[#Headers]), "NPD", "PPD", "CoA", "CoB", "CoC", "CoD", "CoE", "CoF", "CoG", "CoH")</f>
        <v>CoA</v>
      </c>
      <c r="B17" s="158"/>
      <c r="C17" s="158"/>
      <c r="D17" s="159"/>
      <c r="E17" s="125"/>
      <c r="F17" s="127" t="str">
        <f>IF(OR(INDEX(natoCountryList=directors[[#This Row],[Country]],)),"NATO", IF(OR(INDEX(partnerCountryList=directors[[#This Row],[Country]],)),"Partner",""))</f>
        <v/>
      </c>
    </row>
    <row r="18" spans="1:6" x14ac:dyDescent="0.2">
      <c r="A18" s="124" t="str">
        <f>CHOOSE(ROW(directors[#This Row])-ROW(directors[#Headers]), "NPD", "PPD", "CoA", "CoB", "CoC", "CoD", "CoE", "CoF", "CoG", "CoH")</f>
        <v>CoB</v>
      </c>
      <c r="B18" s="158"/>
      <c r="C18" s="158"/>
      <c r="D18" s="159"/>
      <c r="E18" s="125"/>
      <c r="F18" s="127" t="str">
        <f>IF(OR(INDEX(natoCountryList=directors[[#This Row],[Country]],)),"NATO", IF(OR(INDEX(partnerCountryList=directors[[#This Row],[Country]],)),"Partner",""))</f>
        <v/>
      </c>
    </row>
    <row r="19" spans="1:6" x14ac:dyDescent="0.2">
      <c r="A19" s="124" t="str">
        <f>CHOOSE(ROW(directors[#This Row])-ROW(directors[#Headers]), "NPD", "PPD", "CoA", "CoB", "CoC", "CoD", "CoE", "CoF", "CoG", "CoH")</f>
        <v>CoC</v>
      </c>
      <c r="B19" s="158"/>
      <c r="C19" s="158"/>
      <c r="D19" s="159"/>
      <c r="E19" s="125"/>
      <c r="F19" s="127" t="str">
        <f>IF(OR(INDEX(natoCountryList=directors[[#This Row],[Country]],)),"NATO", IF(OR(INDEX(partnerCountryList=directors[[#This Row],[Country]],)),"Partner",""))</f>
        <v/>
      </c>
    </row>
    <row r="20" spans="1:6" x14ac:dyDescent="0.2">
      <c r="A20" s="124" t="str">
        <f>CHOOSE(ROW(directors[#This Row])-ROW(directors[#Headers]), "NPD", "PPD", "CoA", "CoB", "CoC", "CoD", "CoE", "CoF", "CoG", "CoH")</f>
        <v>CoD</v>
      </c>
      <c r="B20" s="125"/>
      <c r="C20" s="158"/>
      <c r="D20" s="126"/>
      <c r="E20" s="125"/>
      <c r="F20" s="127" t="str">
        <f>IF(OR(INDEX(natoCountryList=directors[[#This Row],[Country]],)),"NATO", IF(OR(INDEX(partnerCountryList=directors[[#This Row],[Country]],)),"Partner",""))</f>
        <v/>
      </c>
    </row>
    <row r="21" spans="1:6" x14ac:dyDescent="0.2">
      <c r="A21" s="124" t="str">
        <f>CHOOSE(ROW(directors[#This Row])-ROW(directors[#Headers]), "NPD", "PPD", "CoA", "CoB", "CoC", "CoD", "CoE", "CoF", "CoG", "CoH")</f>
        <v>CoE</v>
      </c>
      <c r="B21" s="125"/>
      <c r="C21" s="158"/>
      <c r="D21" s="126"/>
      <c r="E21" s="125"/>
      <c r="F21" s="127" t="str">
        <f>IF(OR(INDEX(natoCountryList=directors[[#This Row],[Country]],)),"NATO", IF(OR(INDEX(partnerCountryList=directors[[#This Row],[Country]],)),"Partner",""))</f>
        <v/>
      </c>
    </row>
    <row r="22" spans="1:6" x14ac:dyDescent="0.2">
      <c r="A22" s="124" t="str">
        <f>CHOOSE(ROW(directors[#This Row])-ROW(directors[#Headers]), "NPD", "PPD", "CoA", "CoB", "CoC", "CoD", "CoE", "CoF", "CoG", "CoH")</f>
        <v>CoF</v>
      </c>
      <c r="B22" s="125"/>
      <c r="C22" s="158"/>
      <c r="D22" s="126"/>
      <c r="E22" s="125"/>
      <c r="F22" s="127" t="str">
        <f>IF(OR(INDEX(natoCountryList=directors[[#This Row],[Country]],)),"NATO", IF(OR(INDEX(partnerCountryList=directors[[#This Row],[Country]],)),"Partner",""))</f>
        <v/>
      </c>
    </row>
    <row r="23" spans="1:6" x14ac:dyDescent="0.2">
      <c r="A23" s="124" t="str">
        <f>CHOOSE(ROW(directors[#This Row])-ROW(directors[#Headers]), "NPD", "PPD", "CoA", "CoB", "CoC", "CoD", "CoE", "CoF", "CoG", "CoH")</f>
        <v>CoG</v>
      </c>
      <c r="B23" s="125"/>
      <c r="C23" s="158"/>
      <c r="D23" s="126"/>
      <c r="E23" s="125"/>
      <c r="F23" s="127" t="str">
        <f>IF(OR(INDEX(natoCountryList=directors[[#This Row],[Country]],)),"NATO", IF(OR(INDEX(partnerCountryList=directors[[#This Row],[Country]],)),"Partner",""))</f>
        <v/>
      </c>
    </row>
    <row r="24" spans="1:6" x14ac:dyDescent="0.2">
      <c r="A24" s="124" t="str">
        <f>CHOOSE(ROW(directors[#This Row])-ROW(directors[#Headers]), "NPD", "PPD", "CoA", "CoB", "CoC", "CoD", "CoE", "CoF", "CoG", "CoH")</f>
        <v>CoH</v>
      </c>
      <c r="B24" s="158"/>
      <c r="C24" s="158"/>
      <c r="D24" s="126"/>
      <c r="E24" s="125"/>
      <c r="F24" s="127" t="str">
        <f>IF(OR(INDEX(natoCountryList=directors[[#This Row],[Country]],)),"NATO", IF(OR(INDEX(partnerCountryList=directors[[#This Row],[Country]],)),"Partner",""))</f>
        <v/>
      </c>
    </row>
  </sheetData>
  <sheetProtection sheet="1" selectLockedCells="1"/>
  <mergeCells count="2">
    <mergeCell ref="A1:B1"/>
    <mergeCell ref="A2:B2"/>
  </mergeCells>
  <conditionalFormatting sqref="B15:E24 C9:D11 D2:E2 B5:C5">
    <cfRule type="containsBlanks" dxfId="551" priority="12">
      <formula>LEN(TRIM(B2))=0</formula>
    </cfRule>
  </conditionalFormatting>
  <dataValidations count="3">
    <dataValidation type="decimal" allowBlank="1" showInputMessage="1" showErrorMessage="1" sqref="C9:C11">
      <formula1>C8</formula1>
      <formula2>B$5</formula2>
    </dataValidation>
    <dataValidation type="list" allowBlank="1" showInputMessage="1" showErrorMessage="1" sqref="E15:E24">
      <formula1>allCountryList</formula1>
    </dataValidation>
    <dataValidation type="textLength" allowBlank="1" showInputMessage="1" showErrorMessage="1" error="The short title is limited to 80 Characters" sqref="E2">
      <formula1>0</formula1>
      <formula2>80</formula2>
    </dataValidation>
  </dataValidations>
  <pageMargins left="0.70866141732283472" right="0.70866141732283472" top="0.74803149606299213" bottom="0.74803149606299213" header="0.31496062992125984" footer="0.31496062992125984"/>
  <pageSetup paperSize="9" scale="86" orientation="landscape" r:id="rId1"/>
  <headerFooter>
    <oddFooter>&amp;R&amp;8 201908</oddFooter>
  </headerFooter>
  <drawing r:id="rId2"/>
  <tableParts count="2">
    <tablePart r:id="rId3"/>
    <tablePart r:id="rId4"/>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99"/>
  <sheetViews>
    <sheetView workbookViewId="0">
      <selection activeCell="H30" sqref="H30"/>
    </sheetView>
  </sheetViews>
  <sheetFormatPr defaultRowHeight="15" x14ac:dyDescent="0.25"/>
  <cols>
    <col min="1" max="1" width="9.28515625" customWidth="1"/>
    <col min="2" max="2" width="33.140625" customWidth="1"/>
    <col min="3" max="3" width="19.85546875" customWidth="1"/>
    <col min="4" max="4" width="13.5703125" customWidth="1"/>
    <col min="5" max="5" width="12.42578125" customWidth="1"/>
    <col min="6" max="6" width="11.28515625" bestFit="1" customWidth="1"/>
    <col min="7" max="7" width="11.140625" customWidth="1"/>
    <col min="8" max="8" width="24.42578125" customWidth="1"/>
  </cols>
  <sheetData>
    <row r="1" spans="1:8" ht="24" customHeight="1" x14ac:dyDescent="0.25">
      <c r="A1" s="157" t="s">
        <v>497</v>
      </c>
      <c r="B1" s="168">
        <f>spsRefNo</f>
        <v>0</v>
      </c>
      <c r="C1" s="167">
        <f>projectTitle</f>
        <v>0</v>
      </c>
    </row>
    <row r="2" spans="1:8" s="132" customFormat="1" ht="45" x14ac:dyDescent="0.25">
      <c r="A2" s="133" t="s">
        <v>500</v>
      </c>
      <c r="B2" s="133" t="s">
        <v>448</v>
      </c>
      <c r="C2" s="133" t="s">
        <v>489</v>
      </c>
      <c r="D2" s="133" t="s">
        <v>490</v>
      </c>
      <c r="E2" s="133" t="s">
        <v>491</v>
      </c>
      <c r="F2" s="133" t="s">
        <v>492</v>
      </c>
      <c r="G2" s="133" t="s">
        <v>493</v>
      </c>
      <c r="H2" s="133" t="s">
        <v>496</v>
      </c>
    </row>
    <row r="3" spans="1:8" x14ac:dyDescent="0.25">
      <c r="A3" s="134"/>
      <c r="B3" s="134"/>
      <c r="C3" s="134"/>
      <c r="D3" s="134"/>
      <c r="E3" s="134"/>
      <c r="F3" s="135"/>
      <c r="G3" s="134"/>
      <c r="H3" s="134"/>
    </row>
    <row r="4" spans="1:8" x14ac:dyDescent="0.25">
      <c r="A4" s="134"/>
      <c r="B4" s="134"/>
      <c r="C4" s="134"/>
      <c r="D4" s="134"/>
      <c r="E4" s="134"/>
      <c r="F4" s="135"/>
      <c r="G4" s="134"/>
      <c r="H4" s="134"/>
    </row>
    <row r="5" spans="1:8" x14ac:dyDescent="0.25">
      <c r="A5" s="134"/>
      <c r="B5" s="134"/>
      <c r="C5" s="134"/>
      <c r="D5" s="134"/>
      <c r="E5" s="134"/>
      <c r="F5" s="135"/>
      <c r="G5" s="134"/>
      <c r="H5" s="134"/>
    </row>
    <row r="6" spans="1:8" x14ac:dyDescent="0.25">
      <c r="A6" s="134"/>
      <c r="B6" s="134"/>
      <c r="C6" s="134"/>
      <c r="D6" s="134"/>
      <c r="E6" s="134"/>
      <c r="F6" s="135"/>
      <c r="G6" s="134"/>
      <c r="H6" s="134"/>
    </row>
    <row r="7" spans="1:8" x14ac:dyDescent="0.25">
      <c r="A7" s="134"/>
      <c r="B7" s="134"/>
      <c r="C7" s="134"/>
      <c r="D7" s="134"/>
      <c r="E7" s="134"/>
      <c r="F7" s="135"/>
      <c r="G7" s="134"/>
      <c r="H7" s="134"/>
    </row>
    <row r="8" spans="1:8" x14ac:dyDescent="0.25">
      <c r="A8" s="134"/>
      <c r="B8" s="134"/>
      <c r="C8" s="134"/>
      <c r="D8" s="134"/>
      <c r="E8" s="134"/>
      <c r="F8" s="135"/>
      <c r="G8" s="134"/>
      <c r="H8" s="134"/>
    </row>
    <row r="9" spans="1:8" x14ac:dyDescent="0.25">
      <c r="A9" s="134"/>
      <c r="B9" s="134"/>
      <c r="C9" s="134"/>
      <c r="D9" s="134"/>
      <c r="E9" s="134"/>
      <c r="F9" s="135"/>
      <c r="G9" s="134"/>
      <c r="H9" s="134"/>
    </row>
    <row r="10" spans="1:8" x14ac:dyDescent="0.25">
      <c r="A10" s="134"/>
      <c r="B10" s="134"/>
      <c r="C10" s="134"/>
      <c r="D10" s="134"/>
      <c r="E10" s="134"/>
      <c r="F10" s="135"/>
      <c r="G10" s="134"/>
      <c r="H10" s="134"/>
    </row>
    <row r="11" spans="1:8" x14ac:dyDescent="0.25">
      <c r="A11" s="134"/>
      <c r="B11" s="134"/>
      <c r="C11" s="134"/>
      <c r="D11" s="134"/>
      <c r="E11" s="134"/>
      <c r="F11" s="135"/>
      <c r="G11" s="134"/>
      <c r="H11" s="134"/>
    </row>
    <row r="12" spans="1:8" x14ac:dyDescent="0.25">
      <c r="A12" s="134"/>
      <c r="B12" s="134"/>
      <c r="C12" s="134"/>
      <c r="D12" s="134"/>
      <c r="E12" s="134"/>
      <c r="F12" s="135"/>
      <c r="G12" s="134"/>
      <c r="H12" s="134"/>
    </row>
    <row r="13" spans="1:8" x14ac:dyDescent="0.25">
      <c r="A13" s="134"/>
      <c r="B13" s="134"/>
      <c r="C13" s="134"/>
      <c r="D13" s="134"/>
      <c r="E13" s="134"/>
      <c r="F13" s="135"/>
      <c r="G13" s="134"/>
      <c r="H13" s="134"/>
    </row>
    <row r="14" spans="1:8" x14ac:dyDescent="0.25">
      <c r="A14" s="134"/>
      <c r="B14" s="134"/>
      <c r="C14" s="134"/>
      <c r="D14" s="134"/>
      <c r="E14" s="134"/>
      <c r="F14" s="135"/>
      <c r="G14" s="134"/>
      <c r="H14" s="134"/>
    </row>
    <row r="15" spans="1:8" x14ac:dyDescent="0.25">
      <c r="A15" s="134"/>
      <c r="B15" s="134"/>
      <c r="C15" s="134"/>
      <c r="D15" s="134"/>
      <c r="E15" s="134"/>
      <c r="F15" s="135"/>
      <c r="G15" s="134"/>
      <c r="H15" s="134"/>
    </row>
    <row r="16" spans="1:8" x14ac:dyDescent="0.25">
      <c r="A16" s="134"/>
      <c r="B16" s="134"/>
      <c r="C16" s="134"/>
      <c r="D16" s="134"/>
      <c r="E16" s="134"/>
      <c r="F16" s="135"/>
      <c r="G16" s="134"/>
      <c r="H16" s="134"/>
    </row>
    <row r="17" spans="1:8" x14ac:dyDescent="0.25">
      <c r="A17" s="134"/>
      <c r="B17" s="134"/>
      <c r="C17" s="134"/>
      <c r="D17" s="134"/>
      <c r="E17" s="134"/>
      <c r="F17" s="135"/>
      <c r="G17" s="134"/>
      <c r="H17" s="134"/>
    </row>
    <row r="18" spans="1:8" x14ac:dyDescent="0.25">
      <c r="A18" s="134"/>
      <c r="B18" s="134"/>
      <c r="C18" s="134"/>
      <c r="D18" s="134"/>
      <c r="E18" s="134"/>
      <c r="F18" s="135"/>
      <c r="G18" s="134"/>
      <c r="H18" s="134"/>
    </row>
    <row r="19" spans="1:8" x14ac:dyDescent="0.25">
      <c r="A19" s="134"/>
      <c r="B19" s="134"/>
      <c r="C19" s="134"/>
      <c r="D19" s="134"/>
      <c r="E19" s="134"/>
      <c r="F19" s="135"/>
      <c r="G19" s="134"/>
      <c r="H19" s="134"/>
    </row>
    <row r="20" spans="1:8" x14ac:dyDescent="0.25">
      <c r="A20" s="134"/>
      <c r="B20" s="134"/>
      <c r="C20" s="134"/>
      <c r="D20" s="134"/>
      <c r="E20" s="134"/>
      <c r="F20" s="135"/>
      <c r="G20" s="134"/>
      <c r="H20" s="134"/>
    </row>
    <row r="21" spans="1:8" x14ac:dyDescent="0.25">
      <c r="A21" s="134"/>
      <c r="B21" s="134"/>
      <c r="C21" s="134"/>
      <c r="D21" s="134"/>
      <c r="E21" s="134"/>
      <c r="F21" s="135"/>
      <c r="G21" s="134"/>
      <c r="H21" s="134"/>
    </row>
    <row r="22" spans="1:8" x14ac:dyDescent="0.25">
      <c r="A22" s="134"/>
      <c r="B22" s="134"/>
      <c r="C22" s="134"/>
      <c r="D22" s="134"/>
      <c r="E22" s="134"/>
      <c r="F22" s="135"/>
      <c r="G22" s="134"/>
      <c r="H22" s="134"/>
    </row>
    <row r="23" spans="1:8" x14ac:dyDescent="0.25">
      <c r="A23" s="134"/>
      <c r="B23" s="134"/>
      <c r="C23" s="134"/>
      <c r="D23" s="134"/>
      <c r="E23" s="134"/>
      <c r="F23" s="135"/>
      <c r="G23" s="134"/>
      <c r="H23" s="134"/>
    </row>
    <row r="24" spans="1:8" x14ac:dyDescent="0.25">
      <c r="A24" s="134"/>
      <c r="B24" s="134"/>
      <c r="C24" s="134"/>
      <c r="D24" s="134"/>
      <c r="E24" s="134"/>
      <c r="F24" s="135"/>
      <c r="G24" s="134"/>
      <c r="H24" s="134"/>
    </row>
    <row r="25" spans="1:8" x14ac:dyDescent="0.25">
      <c r="A25" s="134"/>
      <c r="B25" s="134"/>
      <c r="C25" s="134"/>
      <c r="D25" s="134"/>
      <c r="E25" s="134"/>
      <c r="F25" s="135"/>
      <c r="G25" s="134"/>
      <c r="H25" s="134"/>
    </row>
    <row r="26" spans="1:8" x14ac:dyDescent="0.25">
      <c r="A26" s="134"/>
      <c r="B26" s="134"/>
      <c r="C26" s="134"/>
      <c r="D26" s="134"/>
      <c r="E26" s="134"/>
      <c r="F26" s="135"/>
      <c r="G26" s="134"/>
      <c r="H26" s="134"/>
    </row>
    <row r="27" spans="1:8" x14ac:dyDescent="0.25">
      <c r="A27" s="134"/>
      <c r="B27" s="134"/>
      <c r="C27" s="134"/>
      <c r="D27" s="134"/>
      <c r="E27" s="134"/>
      <c r="F27" s="135"/>
      <c r="G27" s="134"/>
      <c r="H27" s="134"/>
    </row>
    <row r="28" spans="1:8" x14ac:dyDescent="0.25">
      <c r="A28" s="134"/>
      <c r="B28" s="134"/>
      <c r="C28" s="134"/>
      <c r="D28" s="134"/>
      <c r="E28" s="134"/>
      <c r="F28" s="135"/>
      <c r="G28" s="134"/>
      <c r="H28" s="134"/>
    </row>
    <row r="29" spans="1:8" x14ac:dyDescent="0.25">
      <c r="A29" s="134"/>
      <c r="B29" s="134"/>
      <c r="C29" s="134"/>
      <c r="D29" s="134"/>
      <c r="E29" s="134"/>
      <c r="F29" s="135"/>
      <c r="G29" s="134"/>
      <c r="H29" s="134"/>
    </row>
    <row r="30" spans="1:8" x14ac:dyDescent="0.25">
      <c r="A30" s="134"/>
      <c r="B30" s="134"/>
      <c r="C30" s="134"/>
      <c r="D30" s="134"/>
      <c r="E30" s="134"/>
      <c r="F30" s="135"/>
      <c r="G30" s="134"/>
      <c r="H30" s="134"/>
    </row>
    <row r="31" spans="1:8" x14ac:dyDescent="0.25">
      <c r="A31" s="134"/>
      <c r="B31" s="134"/>
      <c r="C31" s="134"/>
      <c r="D31" s="134"/>
      <c r="E31" s="134"/>
      <c r="F31" s="135"/>
      <c r="G31" s="134"/>
      <c r="H31" s="134"/>
    </row>
    <row r="32" spans="1:8" x14ac:dyDescent="0.25">
      <c r="A32" s="134"/>
      <c r="B32" s="134"/>
      <c r="C32" s="134"/>
      <c r="D32" s="134"/>
      <c r="E32" s="134"/>
      <c r="F32" s="135"/>
      <c r="G32" s="134"/>
      <c r="H32" s="134"/>
    </row>
    <row r="33" spans="1:8" x14ac:dyDescent="0.25">
      <c r="A33" s="134"/>
      <c r="B33" s="134"/>
      <c r="C33" s="134"/>
      <c r="D33" s="134"/>
      <c r="E33" s="134"/>
      <c r="F33" s="135"/>
      <c r="G33" s="134"/>
      <c r="H33" s="134"/>
    </row>
    <row r="34" spans="1:8" x14ac:dyDescent="0.25">
      <c r="A34" s="134"/>
      <c r="B34" s="134"/>
      <c r="C34" s="134"/>
      <c r="D34" s="134"/>
      <c r="E34" s="134"/>
      <c r="F34" s="135"/>
      <c r="G34" s="134"/>
      <c r="H34" s="134"/>
    </row>
    <row r="35" spans="1:8" x14ac:dyDescent="0.25">
      <c r="A35" s="134"/>
      <c r="B35" s="134"/>
      <c r="C35" s="134"/>
      <c r="D35" s="134"/>
      <c r="E35" s="134"/>
      <c r="F35" s="135"/>
      <c r="G35" s="134"/>
      <c r="H35" s="134"/>
    </row>
    <row r="36" spans="1:8" x14ac:dyDescent="0.25">
      <c r="A36" s="134"/>
      <c r="B36" s="134"/>
      <c r="C36" s="134"/>
      <c r="D36" s="134"/>
      <c r="E36" s="134"/>
      <c r="F36" s="135"/>
      <c r="G36" s="134"/>
      <c r="H36" s="134"/>
    </row>
    <row r="37" spans="1:8" x14ac:dyDescent="0.25">
      <c r="A37" s="134"/>
      <c r="B37" s="134"/>
      <c r="C37" s="134"/>
      <c r="D37" s="134"/>
      <c r="E37" s="134"/>
      <c r="F37" s="135"/>
      <c r="G37" s="134"/>
      <c r="H37" s="134"/>
    </row>
    <row r="38" spans="1:8" x14ac:dyDescent="0.25">
      <c r="A38" s="134"/>
      <c r="B38" s="134"/>
      <c r="C38" s="134"/>
      <c r="D38" s="134"/>
      <c r="E38" s="134"/>
      <c r="F38" s="135"/>
      <c r="G38" s="134"/>
      <c r="H38" s="134"/>
    </row>
    <row r="39" spans="1:8" x14ac:dyDescent="0.25">
      <c r="A39" s="134"/>
      <c r="B39" s="134"/>
      <c r="C39" s="134"/>
      <c r="D39" s="134"/>
      <c r="E39" s="134"/>
      <c r="F39" s="135"/>
      <c r="G39" s="134"/>
      <c r="H39" s="134"/>
    </row>
    <row r="40" spans="1:8" x14ac:dyDescent="0.25">
      <c r="A40" s="134"/>
      <c r="B40" s="134"/>
      <c r="C40" s="134"/>
      <c r="D40" s="134"/>
      <c r="E40" s="134"/>
      <c r="F40" s="135"/>
      <c r="G40" s="134"/>
      <c r="H40" s="134"/>
    </row>
    <row r="41" spans="1:8" x14ac:dyDescent="0.25">
      <c r="A41" s="134"/>
      <c r="B41" s="134"/>
      <c r="C41" s="134"/>
      <c r="D41" s="134"/>
      <c r="E41" s="134"/>
      <c r="F41" s="135"/>
      <c r="G41" s="134"/>
      <c r="H41" s="134"/>
    </row>
    <row r="42" spans="1:8" x14ac:dyDescent="0.25">
      <c r="A42" s="134"/>
      <c r="B42" s="134"/>
      <c r="C42" s="134"/>
      <c r="D42" s="134"/>
      <c r="E42" s="134"/>
      <c r="F42" s="135"/>
      <c r="G42" s="134"/>
      <c r="H42" s="134"/>
    </row>
    <row r="43" spans="1:8" x14ac:dyDescent="0.25">
      <c r="A43" s="134"/>
      <c r="B43" s="134"/>
      <c r="C43" s="134"/>
      <c r="D43" s="134"/>
      <c r="E43" s="134"/>
      <c r="F43" s="135"/>
      <c r="G43" s="134"/>
      <c r="H43" s="134"/>
    </row>
    <row r="44" spans="1:8" x14ac:dyDescent="0.25">
      <c r="A44" s="134"/>
      <c r="B44" s="134"/>
      <c r="C44" s="134"/>
      <c r="D44" s="134"/>
      <c r="E44" s="134"/>
      <c r="F44" s="135"/>
      <c r="G44" s="134"/>
      <c r="H44" s="134"/>
    </row>
    <row r="45" spans="1:8" x14ac:dyDescent="0.25">
      <c r="A45" s="134"/>
      <c r="B45" s="134"/>
      <c r="C45" s="134"/>
      <c r="D45" s="134"/>
      <c r="E45" s="134"/>
      <c r="F45" s="135"/>
      <c r="G45" s="134"/>
      <c r="H45" s="134"/>
    </row>
    <row r="46" spans="1:8" x14ac:dyDescent="0.25">
      <c r="A46" s="134"/>
      <c r="B46" s="134"/>
      <c r="C46" s="134"/>
      <c r="D46" s="134"/>
      <c r="E46" s="134"/>
      <c r="F46" s="135"/>
      <c r="G46" s="134"/>
      <c r="H46" s="134"/>
    </row>
    <row r="47" spans="1:8" x14ac:dyDescent="0.25">
      <c r="A47" s="134"/>
      <c r="B47" s="134"/>
      <c r="C47" s="134"/>
      <c r="D47" s="134"/>
      <c r="E47" s="134"/>
      <c r="F47" s="135"/>
      <c r="G47" s="134"/>
      <c r="H47" s="134"/>
    </row>
    <row r="48" spans="1:8" x14ac:dyDescent="0.25">
      <c r="A48" s="134"/>
      <c r="B48" s="134"/>
      <c r="C48" s="134"/>
      <c r="D48" s="134"/>
      <c r="E48" s="134"/>
      <c r="F48" s="135"/>
      <c r="G48" s="134"/>
      <c r="H48" s="134"/>
    </row>
    <row r="49" spans="1:8" x14ac:dyDescent="0.25">
      <c r="A49" s="134"/>
      <c r="B49" s="134"/>
      <c r="C49" s="134"/>
      <c r="D49" s="134"/>
      <c r="E49" s="134"/>
      <c r="F49" s="135"/>
      <c r="G49" s="134"/>
      <c r="H49" s="134"/>
    </row>
    <row r="50" spans="1:8" x14ac:dyDescent="0.25">
      <c r="A50" s="134"/>
      <c r="B50" s="134"/>
      <c r="C50" s="134"/>
      <c r="D50" s="134"/>
      <c r="E50" s="134"/>
      <c r="F50" s="135"/>
      <c r="G50" s="134"/>
      <c r="H50" s="134"/>
    </row>
    <row r="51" spans="1:8" x14ac:dyDescent="0.25">
      <c r="A51" s="134"/>
      <c r="B51" s="134"/>
      <c r="C51" s="134"/>
      <c r="D51" s="134"/>
      <c r="E51" s="134"/>
      <c r="F51" s="135"/>
      <c r="G51" s="134"/>
      <c r="H51" s="134"/>
    </row>
    <row r="52" spans="1:8" x14ac:dyDescent="0.25">
      <c r="A52" s="134"/>
      <c r="B52" s="134"/>
      <c r="C52" s="134"/>
      <c r="D52" s="134"/>
      <c r="E52" s="134"/>
      <c r="F52" s="135"/>
      <c r="G52" s="134"/>
      <c r="H52" s="134"/>
    </row>
    <row r="53" spans="1:8" x14ac:dyDescent="0.25">
      <c r="A53" s="134"/>
      <c r="B53" s="134"/>
      <c r="C53" s="134"/>
      <c r="D53" s="134"/>
      <c r="E53" s="134"/>
      <c r="F53" s="135"/>
      <c r="G53" s="134"/>
      <c r="H53" s="134"/>
    </row>
    <row r="54" spans="1:8" x14ac:dyDescent="0.25">
      <c r="A54" s="134"/>
      <c r="B54" s="134"/>
      <c r="C54" s="134"/>
      <c r="D54" s="134"/>
      <c r="E54" s="134"/>
      <c r="F54" s="135"/>
      <c r="G54" s="134"/>
      <c r="H54" s="134"/>
    </row>
    <row r="55" spans="1:8" x14ac:dyDescent="0.25">
      <c r="A55" s="134"/>
      <c r="B55" s="134"/>
      <c r="C55" s="134"/>
      <c r="D55" s="134"/>
      <c r="E55" s="134"/>
      <c r="F55" s="135"/>
      <c r="G55" s="134"/>
      <c r="H55" s="134"/>
    </row>
    <row r="56" spans="1:8" x14ac:dyDescent="0.25">
      <c r="A56" s="134"/>
      <c r="B56" s="134"/>
      <c r="C56" s="134"/>
      <c r="D56" s="134"/>
      <c r="E56" s="134"/>
      <c r="F56" s="135"/>
      <c r="G56" s="134"/>
      <c r="H56" s="134"/>
    </row>
    <row r="57" spans="1:8" x14ac:dyDescent="0.25">
      <c r="A57" s="134"/>
      <c r="B57" s="134"/>
      <c r="C57" s="134"/>
      <c r="D57" s="134"/>
      <c r="E57" s="134"/>
      <c r="F57" s="135"/>
      <c r="G57" s="134"/>
      <c r="H57" s="134"/>
    </row>
    <row r="58" spans="1:8" x14ac:dyDescent="0.25">
      <c r="A58" s="134"/>
      <c r="B58" s="134"/>
      <c r="C58" s="134"/>
      <c r="D58" s="134"/>
      <c r="E58" s="134"/>
      <c r="F58" s="135"/>
      <c r="G58" s="134"/>
      <c r="H58" s="134"/>
    </row>
    <row r="59" spans="1:8" x14ac:dyDescent="0.25">
      <c r="A59" s="134"/>
      <c r="B59" s="134"/>
      <c r="C59" s="134"/>
      <c r="D59" s="134"/>
      <c r="E59" s="134"/>
      <c r="F59" s="135"/>
      <c r="G59" s="134"/>
      <c r="H59" s="134"/>
    </row>
    <row r="60" spans="1:8" x14ac:dyDescent="0.25">
      <c r="A60" s="134"/>
      <c r="B60" s="134"/>
      <c r="C60" s="134"/>
      <c r="D60" s="134"/>
      <c r="E60" s="134"/>
      <c r="F60" s="135"/>
      <c r="G60" s="134"/>
      <c r="H60" s="134"/>
    </row>
    <row r="61" spans="1:8" x14ac:dyDescent="0.25">
      <c r="A61" s="134"/>
      <c r="B61" s="134"/>
      <c r="C61" s="134"/>
      <c r="D61" s="134"/>
      <c r="E61" s="134"/>
      <c r="F61" s="135"/>
      <c r="G61" s="134"/>
      <c r="H61" s="134"/>
    </row>
    <row r="62" spans="1:8" x14ac:dyDescent="0.25">
      <c r="A62" s="134"/>
      <c r="B62" s="134"/>
      <c r="C62" s="134"/>
      <c r="D62" s="134"/>
      <c r="E62" s="134"/>
      <c r="F62" s="135"/>
      <c r="G62" s="134"/>
      <c r="H62" s="134"/>
    </row>
    <row r="63" spans="1:8" x14ac:dyDescent="0.25">
      <c r="A63" s="134"/>
      <c r="B63" s="134"/>
      <c r="C63" s="134"/>
      <c r="D63" s="134"/>
      <c r="E63" s="134"/>
      <c r="F63" s="135"/>
      <c r="G63" s="134"/>
      <c r="H63" s="134"/>
    </row>
    <row r="64" spans="1:8" x14ac:dyDescent="0.25">
      <c r="A64" s="134"/>
      <c r="B64" s="134"/>
      <c r="C64" s="134"/>
      <c r="D64" s="134"/>
      <c r="E64" s="134"/>
      <c r="F64" s="135"/>
      <c r="G64" s="134"/>
      <c r="H64" s="134"/>
    </row>
    <row r="65" spans="1:8" x14ac:dyDescent="0.25">
      <c r="A65" s="134"/>
      <c r="B65" s="134"/>
      <c r="C65" s="134"/>
      <c r="D65" s="134"/>
      <c r="E65" s="134"/>
      <c r="F65" s="135"/>
      <c r="G65" s="134"/>
      <c r="H65" s="134"/>
    </row>
    <row r="66" spans="1:8" x14ac:dyDescent="0.25">
      <c r="A66" s="134"/>
      <c r="B66" s="134"/>
      <c r="C66" s="134"/>
      <c r="D66" s="134"/>
      <c r="E66" s="134"/>
      <c r="F66" s="135"/>
      <c r="G66" s="134"/>
      <c r="H66" s="134"/>
    </row>
    <row r="67" spans="1:8" x14ac:dyDescent="0.25">
      <c r="A67" s="134"/>
      <c r="B67" s="134"/>
      <c r="C67" s="134"/>
      <c r="D67" s="134"/>
      <c r="E67" s="134"/>
      <c r="F67" s="135"/>
      <c r="G67" s="134"/>
      <c r="H67" s="134"/>
    </row>
    <row r="68" spans="1:8" x14ac:dyDescent="0.25">
      <c r="A68" s="134"/>
      <c r="B68" s="134"/>
      <c r="C68" s="134"/>
      <c r="D68" s="134"/>
      <c r="E68" s="134"/>
      <c r="F68" s="135"/>
      <c r="G68" s="134"/>
      <c r="H68" s="134"/>
    </row>
    <row r="69" spans="1:8" x14ac:dyDescent="0.25">
      <c r="A69" s="134"/>
      <c r="B69" s="134"/>
      <c r="C69" s="134"/>
      <c r="D69" s="134"/>
      <c r="E69" s="134"/>
      <c r="F69" s="135"/>
      <c r="G69" s="134"/>
      <c r="H69" s="134"/>
    </row>
    <row r="70" spans="1:8" x14ac:dyDescent="0.25">
      <c r="A70" s="134"/>
      <c r="B70" s="134"/>
      <c r="C70" s="134"/>
      <c r="D70" s="134"/>
      <c r="E70" s="134"/>
      <c r="F70" s="135"/>
      <c r="G70" s="134"/>
      <c r="H70" s="134"/>
    </row>
    <row r="71" spans="1:8" x14ac:dyDescent="0.25">
      <c r="A71" s="134"/>
      <c r="B71" s="134"/>
      <c r="C71" s="134"/>
      <c r="D71" s="134"/>
      <c r="E71" s="134"/>
      <c r="F71" s="135"/>
      <c r="G71" s="134"/>
      <c r="H71" s="134"/>
    </row>
    <row r="72" spans="1:8" x14ac:dyDescent="0.25">
      <c r="A72" s="134"/>
      <c r="B72" s="134"/>
      <c r="C72" s="134"/>
      <c r="D72" s="134"/>
      <c r="E72" s="134"/>
      <c r="F72" s="135"/>
      <c r="G72" s="134"/>
      <c r="H72" s="134"/>
    </row>
    <row r="73" spans="1:8" x14ac:dyDescent="0.25">
      <c r="A73" s="134"/>
      <c r="B73" s="134"/>
      <c r="C73" s="134"/>
      <c r="D73" s="134"/>
      <c r="E73" s="134"/>
      <c r="F73" s="135"/>
      <c r="G73" s="134"/>
      <c r="H73" s="134"/>
    </row>
    <row r="74" spans="1:8" x14ac:dyDescent="0.25">
      <c r="A74" s="134"/>
      <c r="B74" s="134"/>
      <c r="C74" s="134"/>
      <c r="D74" s="134"/>
      <c r="E74" s="134"/>
      <c r="F74" s="135"/>
      <c r="G74" s="134"/>
      <c r="H74" s="134"/>
    </row>
    <row r="75" spans="1:8" x14ac:dyDescent="0.25">
      <c r="A75" s="134"/>
      <c r="B75" s="134"/>
      <c r="C75" s="134"/>
      <c r="D75" s="134"/>
      <c r="E75" s="134"/>
      <c r="F75" s="135"/>
      <c r="G75" s="134"/>
      <c r="H75" s="134"/>
    </row>
    <row r="76" spans="1:8" x14ac:dyDescent="0.25">
      <c r="A76" s="134"/>
      <c r="B76" s="134"/>
      <c r="C76" s="134"/>
      <c r="D76" s="134"/>
      <c r="E76" s="134"/>
      <c r="F76" s="135"/>
      <c r="G76" s="134"/>
      <c r="H76" s="134"/>
    </row>
    <row r="77" spans="1:8" x14ac:dyDescent="0.25">
      <c r="A77" s="134"/>
      <c r="B77" s="134"/>
      <c r="C77" s="134"/>
      <c r="D77" s="134"/>
      <c r="E77" s="134"/>
      <c r="F77" s="135"/>
      <c r="G77" s="134"/>
      <c r="H77" s="134"/>
    </row>
    <row r="78" spans="1:8" x14ac:dyDescent="0.25">
      <c r="A78" s="134"/>
      <c r="B78" s="134"/>
      <c r="C78" s="134"/>
      <c r="D78" s="134"/>
      <c r="E78" s="134"/>
      <c r="F78" s="135"/>
      <c r="G78" s="134"/>
      <c r="H78" s="134"/>
    </row>
    <row r="79" spans="1:8" x14ac:dyDescent="0.25">
      <c r="A79" s="134"/>
      <c r="B79" s="134"/>
      <c r="C79" s="134"/>
      <c r="D79" s="134"/>
      <c r="E79" s="134"/>
      <c r="F79" s="135"/>
      <c r="G79" s="134"/>
      <c r="H79" s="134"/>
    </row>
    <row r="80" spans="1:8" x14ac:dyDescent="0.25">
      <c r="A80" s="134"/>
      <c r="B80" s="134"/>
      <c r="C80" s="134"/>
      <c r="D80" s="134"/>
      <c r="E80" s="134"/>
      <c r="F80" s="135"/>
      <c r="G80" s="134"/>
      <c r="H80" s="134"/>
    </row>
    <row r="81" spans="1:8" x14ac:dyDescent="0.25">
      <c r="A81" s="134"/>
      <c r="B81" s="134"/>
      <c r="C81" s="134"/>
      <c r="D81" s="134"/>
      <c r="E81" s="134"/>
      <c r="F81" s="135"/>
      <c r="G81" s="134"/>
      <c r="H81" s="134"/>
    </row>
    <row r="82" spans="1:8" x14ac:dyDescent="0.25">
      <c r="A82" s="134"/>
      <c r="B82" s="134"/>
      <c r="C82" s="134"/>
      <c r="D82" s="134"/>
      <c r="E82" s="134"/>
      <c r="F82" s="135"/>
      <c r="G82" s="134"/>
      <c r="H82" s="134"/>
    </row>
    <row r="83" spans="1:8" x14ac:dyDescent="0.25">
      <c r="A83" s="134"/>
      <c r="B83" s="134"/>
      <c r="C83" s="134"/>
      <c r="D83" s="134"/>
      <c r="E83" s="134"/>
      <c r="F83" s="135"/>
      <c r="G83" s="134"/>
      <c r="H83" s="134"/>
    </row>
    <row r="84" spans="1:8" x14ac:dyDescent="0.25">
      <c r="A84" s="134"/>
      <c r="B84" s="134"/>
      <c r="C84" s="134"/>
      <c r="D84" s="134"/>
      <c r="E84" s="134"/>
      <c r="F84" s="135"/>
      <c r="G84" s="134"/>
      <c r="H84" s="134"/>
    </row>
    <row r="85" spans="1:8" x14ac:dyDescent="0.25">
      <c r="A85" s="134"/>
      <c r="B85" s="134"/>
      <c r="C85" s="134"/>
      <c r="D85" s="134"/>
      <c r="E85" s="134"/>
      <c r="F85" s="135"/>
      <c r="G85" s="134"/>
      <c r="H85" s="134"/>
    </row>
    <row r="86" spans="1:8" x14ac:dyDescent="0.25">
      <c r="A86" s="134"/>
      <c r="B86" s="134"/>
      <c r="C86" s="134"/>
      <c r="D86" s="134"/>
      <c r="E86" s="134"/>
      <c r="F86" s="135"/>
      <c r="G86" s="134"/>
      <c r="H86" s="134"/>
    </row>
    <row r="87" spans="1:8" x14ac:dyDescent="0.25">
      <c r="A87" s="134"/>
      <c r="B87" s="134"/>
      <c r="C87" s="134"/>
      <c r="D87" s="134"/>
      <c r="E87" s="134"/>
      <c r="F87" s="135"/>
      <c r="G87" s="134"/>
      <c r="H87" s="134"/>
    </row>
    <row r="88" spans="1:8" x14ac:dyDescent="0.25">
      <c r="A88" s="134"/>
      <c r="B88" s="134"/>
      <c r="C88" s="134"/>
      <c r="D88" s="134"/>
      <c r="E88" s="134"/>
      <c r="F88" s="135"/>
      <c r="G88" s="134"/>
      <c r="H88" s="134"/>
    </row>
    <row r="89" spans="1:8" x14ac:dyDescent="0.25">
      <c r="A89" s="134"/>
      <c r="B89" s="134"/>
      <c r="C89" s="134"/>
      <c r="D89" s="134"/>
      <c r="E89" s="134"/>
      <c r="F89" s="135"/>
      <c r="G89" s="134"/>
      <c r="H89" s="134"/>
    </row>
    <row r="90" spans="1:8" x14ac:dyDescent="0.25">
      <c r="A90" s="134"/>
      <c r="B90" s="134"/>
      <c r="C90" s="134"/>
      <c r="D90" s="134"/>
      <c r="E90" s="134"/>
      <c r="F90" s="135"/>
      <c r="G90" s="134"/>
      <c r="H90" s="134"/>
    </row>
    <row r="91" spans="1:8" x14ac:dyDescent="0.25">
      <c r="A91" s="134"/>
      <c r="B91" s="134"/>
      <c r="C91" s="134"/>
      <c r="D91" s="134"/>
      <c r="E91" s="134"/>
      <c r="F91" s="135"/>
      <c r="G91" s="134"/>
      <c r="H91" s="134"/>
    </row>
    <row r="92" spans="1:8" x14ac:dyDescent="0.25">
      <c r="A92" s="134"/>
      <c r="B92" s="134"/>
      <c r="C92" s="134"/>
      <c r="D92" s="134"/>
      <c r="E92" s="134"/>
      <c r="F92" s="135"/>
      <c r="G92" s="134"/>
      <c r="H92" s="134"/>
    </row>
    <row r="93" spans="1:8" x14ac:dyDescent="0.25">
      <c r="A93" s="134"/>
      <c r="B93" s="134"/>
      <c r="C93" s="134"/>
      <c r="D93" s="134"/>
      <c r="E93" s="134"/>
      <c r="F93" s="135"/>
      <c r="G93" s="134"/>
      <c r="H93" s="134"/>
    </row>
    <row r="94" spans="1:8" x14ac:dyDescent="0.25">
      <c r="A94" s="134"/>
      <c r="B94" s="134"/>
      <c r="C94" s="134"/>
      <c r="D94" s="134"/>
      <c r="E94" s="134"/>
      <c r="F94" s="135"/>
      <c r="G94" s="134"/>
      <c r="H94" s="134"/>
    </row>
    <row r="95" spans="1:8" x14ac:dyDescent="0.25">
      <c r="A95" s="134"/>
      <c r="B95" s="134"/>
      <c r="C95" s="134"/>
      <c r="D95" s="134"/>
      <c r="E95" s="134"/>
      <c r="F95" s="135"/>
      <c r="G95" s="134"/>
      <c r="H95" s="134"/>
    </row>
    <row r="96" spans="1:8" x14ac:dyDescent="0.25">
      <c r="A96" s="134"/>
      <c r="B96" s="134"/>
      <c r="C96" s="134"/>
      <c r="D96" s="134"/>
      <c r="E96" s="134"/>
      <c r="F96" s="135"/>
      <c r="G96" s="134"/>
      <c r="H96" s="134"/>
    </row>
    <row r="97" spans="1:8" x14ac:dyDescent="0.25">
      <c r="A97" s="134"/>
      <c r="B97" s="134"/>
      <c r="C97" s="134"/>
      <c r="D97" s="134"/>
      <c r="E97" s="134"/>
      <c r="F97" s="135"/>
      <c r="G97" s="134"/>
      <c r="H97" s="134"/>
    </row>
    <row r="98" spans="1:8" x14ac:dyDescent="0.25">
      <c r="A98" s="134"/>
      <c r="B98" s="134"/>
      <c r="C98" s="134"/>
      <c r="D98" s="134"/>
      <c r="E98" s="134"/>
      <c r="F98" s="135"/>
      <c r="G98" s="134"/>
      <c r="H98" s="134"/>
    </row>
    <row r="99" spans="1:8" x14ac:dyDescent="0.25">
      <c r="A99" s="134"/>
      <c r="B99" s="134"/>
      <c r="C99" s="134"/>
      <c r="D99" s="134"/>
      <c r="E99" s="134"/>
      <c r="F99" s="135"/>
      <c r="G99" s="134"/>
      <c r="H99" s="134"/>
    </row>
  </sheetData>
  <sheetProtection sheet="1" objects="1" scenarios="1" insertRows="0" selectLockedCells="1" sort="0"/>
  <conditionalFormatting sqref="A1:H1048576">
    <cfRule type="expression" dxfId="86" priority="2">
      <formula>AND(CELL("Protect",A1)=0,ISODD(CELL("Row",A1)))</formula>
    </cfRule>
    <cfRule type="expression" dxfId="85" priority="3">
      <formula>AND(CELL("Protect",A1)=0,ISEVEN(CELL("Row",A1)))</formula>
    </cfRule>
  </conditionalFormatting>
  <pageMargins left="0.7" right="0.7" top="0.75" bottom="0.75" header="0.3" footer="0.3"/>
  <pageSetup paperSize="9" orientation="landscape"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0"/>
  <sheetViews>
    <sheetView showZeros="0" showWhiteSpace="0" topLeftCell="B1" zoomScaleNormal="100" workbookViewId="0">
      <selection activeCell="B41" sqref="B41:B48"/>
    </sheetView>
  </sheetViews>
  <sheetFormatPr defaultColWidth="9.140625" defaultRowHeight="12.75" x14ac:dyDescent="0.2"/>
  <cols>
    <col min="1" max="1" width="5" style="37" hidden="1" customWidth="1"/>
    <col min="2" max="2" width="21.28515625" style="37" customWidth="1"/>
    <col min="3" max="3" width="9.85546875" style="37" customWidth="1"/>
    <col min="4" max="4" width="8.7109375" style="37" customWidth="1"/>
    <col min="5" max="5" width="8.42578125" style="37" customWidth="1"/>
    <col min="6" max="6" width="8.7109375" style="37" customWidth="1"/>
    <col min="7" max="12" width="9.85546875" style="37" customWidth="1"/>
    <col min="13" max="13" width="7.5703125" style="37" customWidth="1"/>
    <col min="14" max="14" width="7" style="37" customWidth="1"/>
    <col min="15" max="16384" width="9.140625" style="37"/>
  </cols>
  <sheetData>
    <row r="1" spans="1:14" s="3" customFormat="1" ht="15" customHeight="1" thickBot="1" x14ac:dyDescent="0.25">
      <c r="A1" s="21"/>
      <c r="B1" s="22"/>
      <c r="C1" s="209" t="s">
        <v>387</v>
      </c>
      <c r="D1" s="210"/>
      <c r="E1" s="213" t="s">
        <v>400</v>
      </c>
      <c r="F1" s="214"/>
      <c r="G1" s="214"/>
      <c r="H1" s="215"/>
      <c r="I1" s="213" t="s">
        <v>401</v>
      </c>
      <c r="J1" s="214"/>
      <c r="K1" s="214"/>
      <c r="L1" s="215"/>
      <c r="M1" s="195" t="s">
        <v>4</v>
      </c>
      <c r="N1" s="182"/>
    </row>
    <row r="2" spans="1:14" s="5" customFormat="1" ht="15" customHeight="1" x14ac:dyDescent="0.2">
      <c r="A2" s="23"/>
      <c r="B2" s="23"/>
      <c r="C2" s="211" t="str">
        <f>IF(spsRefNo=0,"Please Enter on ARF",spsRefNo)</f>
        <v>Please Enter on ARF</v>
      </c>
      <c r="D2" s="212"/>
      <c r="E2" s="216" t="str">
        <f>IF(LEN(projectTitle)=0,"Please enter on ARF tab",projectTitle)</f>
        <v>Please enter on ARF tab</v>
      </c>
      <c r="F2" s="217"/>
      <c r="G2" s="217"/>
      <c r="H2" s="218"/>
      <c r="I2" s="216" t="str">
        <f>IF(LEN(NPDName) = 0, "Please enter on CoDirectors tab",NPDName)</f>
        <v>Please enter  on Info tab.</v>
      </c>
      <c r="J2" s="217"/>
      <c r="K2" s="217"/>
      <c r="L2" s="217"/>
      <c r="M2" s="221">
        <v>40909</v>
      </c>
      <c r="N2" s="222"/>
    </row>
    <row r="3" spans="1:14" x14ac:dyDescent="0.2">
      <c r="A3" s="38"/>
      <c r="B3" s="38"/>
    </row>
    <row r="4" spans="1:14" ht="13.5" customHeight="1" thickBot="1" x14ac:dyDescent="0.25">
      <c r="A4" s="38"/>
      <c r="B4" s="38"/>
      <c r="M4" s="213" t="s">
        <v>441</v>
      </c>
      <c r="N4" s="214"/>
    </row>
    <row r="5" spans="1:14" x14ac:dyDescent="0.2">
      <c r="A5" s="38"/>
      <c r="B5" s="38"/>
      <c r="M5" s="219" t="e">
        <f xml:space="preserve"> IF(ISBLANK(dateReport), "Please fill date above", INDEX(milestones[Milestones], (dateReport &gt;= cleanDateKickoff) + (dateReport &gt;= cleanDateMilestone1) +  (dateReport &gt;=  cleanDateMilestone2) +  (dateReport&gt;=cleanDateMilestone3) + (dateReport &gt;= cleanDateMilestone4)+  (dateReport &gt;= cleanDateFinal) ))</f>
        <v>#VALUE!</v>
      </c>
      <c r="N5" s="220"/>
    </row>
    <row r="6" spans="1:14" x14ac:dyDescent="0.2">
      <c r="A6" s="38"/>
      <c r="B6" s="38"/>
    </row>
    <row r="7" spans="1:14" x14ac:dyDescent="0.2">
      <c r="A7" s="38"/>
      <c r="B7" s="38"/>
    </row>
    <row r="8" spans="1:14" x14ac:dyDescent="0.2">
      <c r="A8" s="38"/>
      <c r="B8" s="38"/>
    </row>
    <row r="9" spans="1:14" x14ac:dyDescent="0.2">
      <c r="E9" s="40"/>
    </row>
    <row r="19" spans="1:14" ht="38.25" x14ac:dyDescent="0.2">
      <c r="A19" s="39" t="s">
        <v>314</v>
      </c>
      <c r="B19" s="39" t="s">
        <v>402</v>
      </c>
      <c r="C19" s="39" t="s">
        <v>404</v>
      </c>
      <c r="D19" s="39" t="s">
        <v>405</v>
      </c>
      <c r="E19" s="39" t="s">
        <v>420</v>
      </c>
      <c r="F19" s="39" t="s">
        <v>421</v>
      </c>
      <c r="G19" s="39" t="s">
        <v>411</v>
      </c>
      <c r="H19" s="39" t="s">
        <v>422</v>
      </c>
      <c r="I19" s="39" t="s">
        <v>414</v>
      </c>
      <c r="J19" s="39" t="s">
        <v>423</v>
      </c>
      <c r="K19" s="39" t="s">
        <v>415</v>
      </c>
      <c r="L19" s="39" t="s">
        <v>424</v>
      </c>
      <c r="M19" s="39" t="s">
        <v>416</v>
      </c>
      <c r="N19" s="39" t="s">
        <v>425</v>
      </c>
    </row>
    <row r="20" spans="1:14" x14ac:dyDescent="0.2">
      <c r="A20" s="40" t="str">
        <f>IFERROR(INDEX(directors[Role],ROW(summaryByDirector[#This Row])-ROW(summaryByDirector[#Headers])),"")</f>
        <v>NPD</v>
      </c>
      <c r="B20" s="53">
        <f>IFERROR(INDEX(directors[Last],ROW(summaryByDirector[#This Row])-ROW(summaryByDirector[#Headers])),"")</f>
        <v>0</v>
      </c>
      <c r="C20" s="42">
        <f ca="1" xml:space="preserve"> summaryByDirector[[#This Row],[Budget Kickoff]] * (dateReport &gt; cleanDateKickoff) + summaryByDirector[[#This Row],[Budget Initial]] *(dateReport &gt; cleanDateMilestone1) + summaryByDirector[[#This Row],[Budget Milestone 1]] * (dateReport &gt; cleanDateMilestone2) +  summaryByDirector[[#This Row],[Budget Milestone 2]] * (dateReport&gt;cleanDateMilestone3) +  summaryByDirector[[#This Row],[Budget Milestone 3]] *(dateReport &gt; cleanDateMilestone4)</f>
        <v>0</v>
      </c>
      <c r="D20" s="42">
        <f>SUMIFS(ARF[Amount in Euro], ARF[Co Director],summaryByDirector[Name], ARF[Date], "&lt;=" &amp; dateReport)</f>
        <v>0</v>
      </c>
      <c r="E20" s="42">
        <f ca="1">IFERROR(INDEX(budgetSummary[Milestone 1],MATCH("Subtotal " &amp; summaryByDirector[[#This Row],[Name]], budgetSummary[Category],0)),0)</f>
        <v>0</v>
      </c>
      <c r="F20" s="42">
        <f>SUMIFS(ARF[Amount in Euro], ARF[Co Director],summaryByDirector[Name], ARF[Date], "&gt;" &amp; cleanDateKickoff,ARF[Date], "&lt;=" &amp; cleanDateMilestone1)</f>
        <v>0</v>
      </c>
      <c r="G20" s="42">
        <f>IFERROR(INDEX(#REF!,MATCH("Subtotal " &amp; summaryByDirector[[#This Row],[Name]],#REF!, 0)),0)</f>
        <v>0</v>
      </c>
      <c r="H20" s="42">
        <f>SUMIFS(ARF[Amount in Euro], ARF[Co Director],summaryByDirector[Name], ARF[Date], "&gt;" &amp; cleanDateMilestone1,ARF[Date], "&lt;=" &amp; cleanDateMilestone2)</f>
        <v>0</v>
      </c>
      <c r="I20" s="42">
        <f>IFERROR(INDEX(#REF!,MATCH("Subtotal " &amp; summaryByDirector[[#This Row],[Name]],#REF!, 0)),0)</f>
        <v>0</v>
      </c>
      <c r="J20" s="42">
        <f>SUMIFS(ARF[Amount in Euro], ARF[Co Director],summaryByDirector[Name], ARF[Date], "&gt;" &amp; cleanDateMilestone2,ARF[Date], "&lt;=" &amp; cleanDateMilestone3)</f>
        <v>0</v>
      </c>
      <c r="K20" s="42">
        <f>IFERROR(INDEX(#REF!,MATCH("Subtotal " &amp; summaryByDirector[[#This Row],[Name]],#REF!, 0)),0)</f>
        <v>0</v>
      </c>
      <c r="L20" s="42">
        <f>SUMIFS(ARF[Amount in Euro], ARF[Co Director],summaryByDirector[Name], ARF[Date], "&gt;" &amp; cleanDateMilestone3,ARF[Date], "&lt;=" &amp; cleanDateMilestone4)</f>
        <v>0</v>
      </c>
      <c r="M20" s="42">
        <f>IFERROR(INDEX(#REF!,MATCH("Subtotal " &amp; summaryByDirector[[#This Row],[Name]],#REF!, 0)),0)</f>
        <v>0</v>
      </c>
      <c r="N20" s="42">
        <f xml:space="preserve"> SUMIFS(ARF[Amount in Euro], ARF[Co Director],summaryByDirector[Name], ARF[Date], "&gt;" &amp; cleanDateMilestone4)</f>
        <v>0</v>
      </c>
    </row>
    <row r="21" spans="1:14" x14ac:dyDescent="0.2">
      <c r="A21" s="40" t="str">
        <f>IFERROR(INDEX(directors[Role],ROW(summaryByDirector[#This Row])-ROW(summaryByDirector[#Headers])),"")</f>
        <v>PPD</v>
      </c>
      <c r="B21" s="53">
        <f>IFERROR(INDEX(directors[Last],ROW(summaryByDirector[#This Row])-ROW(summaryByDirector[#Headers])),"")</f>
        <v>0</v>
      </c>
      <c r="C21" s="42">
        <f ca="1" xml:space="preserve"> summaryByDirector[[#This Row],[Budget Kickoff]] * (dateReport &gt; cleanDateKickoff) + summaryByDirector[[#This Row],[Budget Initial]] *(dateReport &gt; cleanDateMilestone1) + summaryByDirector[[#This Row],[Budget Milestone 1]] * (dateReport &gt; cleanDateMilestone2) +  summaryByDirector[[#This Row],[Budget Milestone 2]] * (dateReport&gt;cleanDateMilestone3) +  summaryByDirector[[#This Row],[Budget Milestone 3]] *(dateReport &gt; cleanDateMilestone4)</f>
        <v>0</v>
      </c>
      <c r="D21" s="42">
        <f>SUMIFS(ARF[Amount in Euro], ARF[Co Director],summaryByDirector[Name], ARF[Date], "&lt;=" &amp; dateReport)</f>
        <v>0</v>
      </c>
      <c r="E21" s="42">
        <f ca="1">IFERROR(INDEX(budgetSummary[Milestone 1],MATCH("Subtotal " &amp; summaryByDirector[[#This Row],[Name]], budgetSummary[Category],0)),0)</f>
        <v>0</v>
      </c>
      <c r="F21" s="42">
        <f>SUMIFS(ARF[Amount in Euro], ARF[Co Director],summaryByDirector[Name], ARF[Date], "&gt;" &amp; cleanDateKickoff,ARF[Date], "&lt;=" &amp; cleanDateMilestone1)</f>
        <v>0</v>
      </c>
      <c r="G21" s="42">
        <f>IFERROR(INDEX(#REF!,MATCH("Subtotal " &amp; summaryByDirector[[#This Row],[Name]],#REF!, 0)),0)</f>
        <v>0</v>
      </c>
      <c r="H21" s="42">
        <f>SUMIFS(ARF[Amount in Euro], ARF[Co Director],summaryByDirector[Name], ARF[Date], "&gt;" &amp; cleanDateMilestone1,ARF[Date], "&lt;=" &amp; cleanDateMilestone2)</f>
        <v>0</v>
      </c>
      <c r="I21" s="42">
        <f>IFERROR(INDEX(#REF!,MATCH("Subtotal " &amp; summaryByDirector[[#This Row],[Name]],#REF!, 0)),0)</f>
        <v>0</v>
      </c>
      <c r="J21" s="42">
        <f>SUMIFS(ARF[Amount in Euro], ARF[Co Director],summaryByDirector[Name], ARF[Date], "&gt;" &amp; cleanDateMilestone2,ARF[Date], "&lt;=" &amp; cleanDateMilestone3)</f>
        <v>0</v>
      </c>
      <c r="K21" s="42">
        <f>IFERROR(INDEX(#REF!,MATCH("Subtotal " &amp; summaryByDirector[[#This Row],[Name]],#REF!, 0)),0)</f>
        <v>0</v>
      </c>
      <c r="L21" s="42">
        <f>SUMIFS(ARF[Amount in Euro], ARF[Co Director],summaryByDirector[Name], ARF[Date], "&gt;" &amp; cleanDateMilestone3,ARF[Date], "&lt;=" &amp; cleanDateMilestone4)</f>
        <v>0</v>
      </c>
      <c r="M21" s="42">
        <f>IFERROR(INDEX(#REF!,MATCH("Subtotal " &amp; summaryByDirector[[#This Row],[Name]],#REF!, 0)),0)</f>
        <v>0</v>
      </c>
      <c r="N21" s="42">
        <f xml:space="preserve"> SUMIFS(ARF[Amount in Euro], ARF[Co Director],summaryByDirector[Name], ARF[Date], "&gt;" &amp; cleanDateMilestone4)</f>
        <v>0</v>
      </c>
    </row>
    <row r="22" spans="1:14" x14ac:dyDescent="0.2">
      <c r="A22" s="40" t="str">
        <f>IFERROR(INDEX(directors[Role],ROW(summaryByDirector[#This Row])-ROW(summaryByDirector[#Headers])),"")</f>
        <v>CoA</v>
      </c>
      <c r="B22" s="53">
        <f>IFERROR(INDEX(directors[Last],ROW(summaryByDirector[#This Row])-ROW(summaryByDirector[#Headers])),"")</f>
        <v>0</v>
      </c>
      <c r="C22" s="42">
        <f ca="1" xml:space="preserve"> summaryByDirector[[#This Row],[Budget Kickoff]] * (dateReport &gt; cleanDateKickoff) + summaryByDirector[[#This Row],[Budget Initial]] *(dateReport &gt; cleanDateMilestone1) + summaryByDirector[[#This Row],[Budget Milestone 1]] * (dateReport &gt; cleanDateMilestone2) +  summaryByDirector[[#This Row],[Budget Milestone 2]] * (dateReport&gt;cleanDateMilestone3) +  summaryByDirector[[#This Row],[Budget Milestone 3]] *(dateReport &gt; cleanDateMilestone4)</f>
        <v>0</v>
      </c>
      <c r="D22" s="42">
        <f>SUMIFS(ARF[Amount in Euro], ARF[Co Director],summaryByDirector[Name], ARF[Date], "&lt;=" &amp; dateReport)</f>
        <v>0</v>
      </c>
      <c r="E22" s="42">
        <f ca="1">IFERROR(INDEX(budgetSummary[Milestone 1],MATCH("Subtotal " &amp; summaryByDirector[[#This Row],[Name]], budgetSummary[Category],0)),0)</f>
        <v>0</v>
      </c>
      <c r="F22" s="42">
        <f>SUMIFS(ARF[Amount in Euro], ARF[Co Director],summaryByDirector[Name], ARF[Date], "&gt;" &amp; cleanDateKickoff,ARF[Date], "&lt;=" &amp; cleanDateMilestone1)</f>
        <v>0</v>
      </c>
      <c r="G22" s="42">
        <f>IFERROR(INDEX(#REF!,MATCH("Subtotal " &amp; summaryByDirector[[#This Row],[Name]],#REF!, 0)),0)</f>
        <v>0</v>
      </c>
      <c r="H22" s="42">
        <f>SUMIFS(ARF[Amount in Euro], ARF[Co Director],summaryByDirector[Name], ARF[Date], "&gt;" &amp; cleanDateMilestone1,ARF[Date], "&lt;=" &amp; cleanDateMilestone2)</f>
        <v>0</v>
      </c>
      <c r="I22" s="42">
        <f>IFERROR(INDEX(#REF!,MATCH("Subtotal " &amp; summaryByDirector[[#This Row],[Name]],#REF!, 0)),0)</f>
        <v>0</v>
      </c>
      <c r="J22" s="42">
        <f>SUMIFS(ARF[Amount in Euro], ARF[Co Director],summaryByDirector[Name], ARF[Date], "&gt;" &amp; cleanDateMilestone2,ARF[Date], "&lt;=" &amp; cleanDateMilestone3)</f>
        <v>0</v>
      </c>
      <c r="K22" s="42">
        <f>IFERROR(INDEX(#REF!,MATCH("Subtotal " &amp; summaryByDirector[[#This Row],[Name]],#REF!, 0)),0)</f>
        <v>0</v>
      </c>
      <c r="L22" s="42">
        <f>SUMIFS(ARF[Amount in Euro], ARF[Co Director],summaryByDirector[Name], ARF[Date], "&gt;" &amp; cleanDateMilestone3,ARF[Date], "&lt;=" &amp; cleanDateMilestone4)</f>
        <v>0</v>
      </c>
      <c r="M22" s="42">
        <f>IFERROR(INDEX(#REF!,MATCH("Subtotal " &amp; summaryByDirector[[#This Row],[Name]],#REF!, 0)),0)</f>
        <v>0</v>
      </c>
      <c r="N22" s="42">
        <f xml:space="preserve"> SUMIFS(ARF[Amount in Euro], ARF[Co Director],summaryByDirector[Name], ARF[Date], "&gt;" &amp; cleanDateMilestone4)</f>
        <v>0</v>
      </c>
    </row>
    <row r="23" spans="1:14" x14ac:dyDescent="0.2">
      <c r="A23" s="40" t="str">
        <f>IFERROR(INDEX(directors[Role],ROW(summaryByDirector[#This Row])-ROW(summaryByDirector[#Headers])),"")</f>
        <v>CoB</v>
      </c>
      <c r="B23" s="53">
        <f>IFERROR(INDEX(directors[Last],ROW(summaryByDirector[#This Row])-ROW(summaryByDirector[#Headers])),"")</f>
        <v>0</v>
      </c>
      <c r="C23" s="42">
        <f ca="1" xml:space="preserve"> summaryByDirector[[#This Row],[Budget Kickoff]] * (dateReport &gt; cleanDateKickoff) + summaryByDirector[[#This Row],[Budget Initial]] *(dateReport &gt; cleanDateMilestone1) + summaryByDirector[[#This Row],[Budget Milestone 1]] * (dateReport &gt; cleanDateMilestone2) +  summaryByDirector[[#This Row],[Budget Milestone 2]] * (dateReport&gt;cleanDateMilestone3) +  summaryByDirector[[#This Row],[Budget Milestone 3]] *(dateReport &gt; cleanDateMilestone4)</f>
        <v>0</v>
      </c>
      <c r="D23" s="42">
        <f>SUMIFS(ARF[Amount in Euro], ARF[Co Director],summaryByDirector[Name], ARF[Date], "&lt;=" &amp; dateReport)</f>
        <v>0</v>
      </c>
      <c r="E23" s="42">
        <f ca="1">IFERROR(INDEX(budgetSummary[Milestone 1],MATCH("Subtotal " &amp; summaryByDirector[[#This Row],[Name]], budgetSummary[Category],0)),0)</f>
        <v>0</v>
      </c>
      <c r="F23" s="42">
        <f>SUMIFS(ARF[Amount in Euro], ARF[Co Director],summaryByDirector[Name], ARF[Date], "&gt;" &amp; cleanDateKickoff,ARF[Date], "&lt;=" &amp; cleanDateMilestone1)</f>
        <v>0</v>
      </c>
      <c r="G23" s="42">
        <f>IFERROR(INDEX(#REF!,MATCH("Subtotal " &amp; summaryByDirector[[#This Row],[Name]],#REF!, 0)),0)</f>
        <v>0</v>
      </c>
      <c r="H23" s="42">
        <f>SUMIFS(ARF[Amount in Euro], ARF[Co Director],summaryByDirector[Name], ARF[Date], "&gt;" &amp; cleanDateMilestone1,ARF[Date], "&lt;=" &amp; cleanDateMilestone2)</f>
        <v>0</v>
      </c>
      <c r="I23" s="42">
        <f>IFERROR(INDEX(#REF!,MATCH("Subtotal " &amp; summaryByDirector[[#This Row],[Name]],#REF!, 0)),0)</f>
        <v>0</v>
      </c>
      <c r="J23" s="42">
        <f>SUMIFS(ARF[Amount in Euro], ARF[Co Director],summaryByDirector[Name], ARF[Date], "&gt;" &amp; cleanDateMilestone2,ARF[Date], "&lt;=" &amp; cleanDateMilestone3)</f>
        <v>0</v>
      </c>
      <c r="K23" s="42">
        <f>IFERROR(INDEX(#REF!,MATCH("Subtotal " &amp; summaryByDirector[[#This Row],[Name]],#REF!, 0)),0)</f>
        <v>0</v>
      </c>
      <c r="L23" s="42">
        <f>SUMIFS(ARF[Amount in Euro], ARF[Co Director],summaryByDirector[Name], ARF[Date], "&gt;" &amp; cleanDateMilestone3,ARF[Date], "&lt;=" &amp; cleanDateMilestone4)</f>
        <v>0</v>
      </c>
      <c r="M23" s="42">
        <f>IFERROR(INDEX(#REF!,MATCH("Subtotal " &amp; summaryByDirector[[#This Row],[Name]],#REF!, 0)),0)</f>
        <v>0</v>
      </c>
      <c r="N23" s="42">
        <f xml:space="preserve"> SUMIFS(ARF[Amount in Euro], ARF[Co Director],summaryByDirector[Name], ARF[Date], "&gt;" &amp; cleanDateMilestone4)</f>
        <v>0</v>
      </c>
    </row>
    <row r="24" spans="1:14" x14ac:dyDescent="0.2">
      <c r="A24" s="40" t="str">
        <f>IFERROR(INDEX(directors[Role],ROW(summaryByDirector[#This Row])-ROW(summaryByDirector[#Headers])),"")</f>
        <v>CoC</v>
      </c>
      <c r="B24" s="53">
        <f>IFERROR(INDEX(directors[Last],ROW(summaryByDirector[#This Row])-ROW(summaryByDirector[#Headers])),"")</f>
        <v>0</v>
      </c>
      <c r="C24" s="42">
        <f ca="1" xml:space="preserve"> summaryByDirector[[#This Row],[Budget Kickoff]] * (dateReport &gt; cleanDateKickoff) + summaryByDirector[[#This Row],[Budget Initial]] *(dateReport &gt; cleanDateMilestone1) + summaryByDirector[[#This Row],[Budget Milestone 1]] * (dateReport &gt; cleanDateMilestone2) +  summaryByDirector[[#This Row],[Budget Milestone 2]] * (dateReport&gt;cleanDateMilestone3) +  summaryByDirector[[#This Row],[Budget Milestone 3]] *(dateReport &gt; cleanDateMilestone4)</f>
        <v>0</v>
      </c>
      <c r="D24" s="42">
        <f>SUMIFS(ARF[Amount in Euro], ARF[Co Director],summaryByDirector[Name], ARF[Date], "&lt;=" &amp; dateReport)</f>
        <v>0</v>
      </c>
      <c r="E24" s="42">
        <f ca="1">IFERROR(INDEX(budgetSummary[Milestone 1],MATCH("Subtotal " &amp; summaryByDirector[[#This Row],[Name]], budgetSummary[Category],0)),0)</f>
        <v>0</v>
      </c>
      <c r="F24" s="42">
        <f>SUMIFS(ARF[Amount in Euro], ARF[Co Director],summaryByDirector[Name], ARF[Date], "&gt;" &amp; cleanDateKickoff,ARF[Date], "&lt;=" &amp; cleanDateMilestone1)</f>
        <v>0</v>
      </c>
      <c r="G24" s="42">
        <f>IFERROR(INDEX(#REF!,MATCH("Subtotal " &amp; summaryByDirector[[#This Row],[Name]],#REF!, 0)),0)</f>
        <v>0</v>
      </c>
      <c r="H24" s="42">
        <f>SUMIFS(ARF[Amount in Euro], ARF[Co Director],summaryByDirector[Name], ARF[Date], "&gt;" &amp; cleanDateMilestone1,ARF[Date], "&lt;=" &amp; cleanDateMilestone2)</f>
        <v>0</v>
      </c>
      <c r="I24" s="42">
        <f>IFERROR(INDEX(#REF!,MATCH("Subtotal " &amp; summaryByDirector[[#This Row],[Name]],#REF!, 0)),0)</f>
        <v>0</v>
      </c>
      <c r="J24" s="42">
        <f>SUMIFS(ARF[Amount in Euro], ARF[Co Director],summaryByDirector[Name], ARF[Date], "&gt;" &amp; cleanDateMilestone2,ARF[Date], "&lt;=" &amp; cleanDateMilestone3)</f>
        <v>0</v>
      </c>
      <c r="K24" s="42">
        <f>IFERROR(INDEX(#REF!,MATCH("Subtotal " &amp; summaryByDirector[[#This Row],[Name]],#REF!, 0)),0)</f>
        <v>0</v>
      </c>
      <c r="L24" s="42">
        <f>SUMIFS(ARF[Amount in Euro], ARF[Co Director],summaryByDirector[Name], ARF[Date], "&gt;" &amp; cleanDateMilestone3,ARF[Date], "&lt;=" &amp; cleanDateMilestone4)</f>
        <v>0</v>
      </c>
      <c r="M24" s="42">
        <f>IFERROR(INDEX(#REF!,MATCH("Subtotal " &amp; summaryByDirector[[#This Row],[Name]],#REF!, 0)),0)</f>
        <v>0</v>
      </c>
      <c r="N24" s="42">
        <f xml:space="preserve"> SUMIFS(ARF[Amount in Euro], ARF[Co Director],summaryByDirector[Name], ARF[Date], "&gt;" &amp; cleanDateMilestone4)</f>
        <v>0</v>
      </c>
    </row>
    <row r="25" spans="1:14" x14ac:dyDescent="0.2">
      <c r="A25" s="40" t="str">
        <f>IFERROR(INDEX(directors[Role],ROW(summaryByDirector[#This Row])-ROW(summaryByDirector[#Headers])),"")</f>
        <v>CoD</v>
      </c>
      <c r="B25" s="53">
        <f>IFERROR(INDEX(directors[Last],ROW(summaryByDirector[#This Row])-ROW(summaryByDirector[#Headers])),"")</f>
        <v>0</v>
      </c>
      <c r="C25" s="42">
        <f ca="1" xml:space="preserve"> summaryByDirector[[#This Row],[Budget Kickoff]] * (dateReport &gt; cleanDateKickoff) + summaryByDirector[[#This Row],[Budget Initial]] *(dateReport &gt; cleanDateMilestone1) + summaryByDirector[[#This Row],[Budget Milestone 1]] * (dateReport &gt; cleanDateMilestone2) +  summaryByDirector[[#This Row],[Budget Milestone 2]] * (dateReport&gt;cleanDateMilestone3) +  summaryByDirector[[#This Row],[Budget Milestone 3]] *(dateReport &gt; cleanDateMilestone4)</f>
        <v>0</v>
      </c>
      <c r="D25" s="42">
        <f>SUMIFS(ARF[Amount in Euro], ARF[Co Director],summaryByDirector[Name], ARF[Date], "&lt;=" &amp; dateReport)</f>
        <v>0</v>
      </c>
      <c r="E25" s="42">
        <f ca="1">IFERROR(INDEX(budgetSummary[Milestone 1],MATCH("Subtotal " &amp; summaryByDirector[[#This Row],[Name]], budgetSummary[Category],0)),0)</f>
        <v>0</v>
      </c>
      <c r="F25" s="42">
        <f>SUMIFS(ARF[Amount in Euro], ARF[Co Director],summaryByDirector[Name], ARF[Date], "&gt;" &amp; cleanDateKickoff,ARF[Date], "&lt;=" &amp; cleanDateMilestone1)</f>
        <v>0</v>
      </c>
      <c r="G25" s="42">
        <f>IFERROR(INDEX(#REF!,MATCH("Subtotal " &amp; summaryByDirector[[#This Row],[Name]],#REF!, 0)),0)</f>
        <v>0</v>
      </c>
      <c r="H25" s="42">
        <f>SUMIFS(ARF[Amount in Euro], ARF[Co Director],summaryByDirector[Name], ARF[Date], "&gt;" &amp; cleanDateMilestone1,ARF[Date], "&lt;=" &amp; cleanDateMilestone2)</f>
        <v>0</v>
      </c>
      <c r="I25" s="42">
        <f>IFERROR(INDEX(#REF!,MATCH("Subtotal " &amp; summaryByDirector[[#This Row],[Name]],#REF!, 0)),0)</f>
        <v>0</v>
      </c>
      <c r="J25" s="42">
        <f>SUMIFS(ARF[Amount in Euro], ARF[Co Director],summaryByDirector[Name], ARF[Date], "&gt;" &amp; cleanDateMilestone2,ARF[Date], "&lt;=" &amp; cleanDateMilestone3)</f>
        <v>0</v>
      </c>
      <c r="K25" s="42">
        <f>IFERROR(INDEX(#REF!,MATCH("Subtotal " &amp; summaryByDirector[[#This Row],[Name]],#REF!, 0)),0)</f>
        <v>0</v>
      </c>
      <c r="L25" s="42">
        <f>SUMIFS(ARF[Amount in Euro], ARF[Co Director],summaryByDirector[Name], ARF[Date], "&gt;" &amp; cleanDateMilestone3,ARF[Date], "&lt;=" &amp; cleanDateMilestone4)</f>
        <v>0</v>
      </c>
      <c r="M25" s="42">
        <f>IFERROR(INDEX(#REF!,MATCH("Subtotal " &amp; summaryByDirector[[#This Row],[Name]],#REF!, 0)),0)</f>
        <v>0</v>
      </c>
      <c r="N25" s="42">
        <f xml:space="preserve"> SUMIFS(ARF[Amount in Euro], ARF[Co Director],summaryByDirector[Name], ARF[Date], "&gt;" &amp; cleanDateMilestone4)</f>
        <v>0</v>
      </c>
    </row>
    <row r="26" spans="1:14" x14ac:dyDescent="0.2">
      <c r="A26" s="40" t="str">
        <f>IFERROR(INDEX(directors[Role],ROW(summaryByDirector[#This Row])-ROW(summaryByDirector[#Headers])),"")</f>
        <v>CoE</v>
      </c>
      <c r="B26" s="53">
        <f>IFERROR(INDEX(directors[Last],ROW(summaryByDirector[#This Row])-ROW(summaryByDirector[#Headers])),"")</f>
        <v>0</v>
      </c>
      <c r="C26" s="42">
        <f ca="1" xml:space="preserve"> summaryByDirector[[#This Row],[Budget Kickoff]] * (dateReport &gt; cleanDateKickoff) + summaryByDirector[[#This Row],[Budget Initial]] *(dateReport &gt; cleanDateMilestone1) + summaryByDirector[[#This Row],[Budget Milestone 1]] * (dateReport &gt; cleanDateMilestone2) +  summaryByDirector[[#This Row],[Budget Milestone 2]] * (dateReport&gt;cleanDateMilestone3) +  summaryByDirector[[#This Row],[Budget Milestone 3]] *(dateReport &gt; cleanDateMilestone4)</f>
        <v>0</v>
      </c>
      <c r="D26" s="42">
        <f>SUMIFS(ARF[Amount in Euro], ARF[Co Director],summaryByDirector[Name], ARF[Date], "&lt;=" &amp; dateReport)</f>
        <v>0</v>
      </c>
      <c r="E26" s="42">
        <f ca="1">IFERROR(INDEX(budgetSummary[Milestone 1],MATCH("Subtotal " &amp; summaryByDirector[[#This Row],[Name]], budgetSummary[Category],0)),0)</f>
        <v>0</v>
      </c>
      <c r="F26" s="42">
        <f>SUMIFS(ARF[Amount in Euro], ARF[Co Director],summaryByDirector[Name], ARF[Date], "&gt;" &amp; cleanDateKickoff,ARF[Date], "&lt;=" &amp; cleanDateMilestone1)</f>
        <v>0</v>
      </c>
      <c r="G26" s="42">
        <f>IFERROR(INDEX(#REF!,MATCH("Subtotal " &amp; summaryByDirector[[#This Row],[Name]],#REF!, 0)),0)</f>
        <v>0</v>
      </c>
      <c r="H26" s="42">
        <f>SUMIFS(ARF[Amount in Euro], ARF[Co Director],summaryByDirector[Name], ARF[Date], "&gt;" &amp; cleanDateMilestone1,ARF[Date], "&lt;=" &amp; cleanDateMilestone2)</f>
        <v>0</v>
      </c>
      <c r="I26" s="42">
        <f>IFERROR(INDEX(#REF!,MATCH("Subtotal " &amp; summaryByDirector[[#This Row],[Name]],#REF!, 0)),0)</f>
        <v>0</v>
      </c>
      <c r="J26" s="42">
        <f>SUMIFS(ARF[Amount in Euro], ARF[Co Director],summaryByDirector[Name], ARF[Date], "&gt;" &amp; cleanDateMilestone2,ARF[Date], "&lt;=" &amp; cleanDateMilestone3)</f>
        <v>0</v>
      </c>
      <c r="K26" s="42">
        <f>IFERROR(INDEX(#REF!,MATCH("Subtotal " &amp; summaryByDirector[[#This Row],[Name]],#REF!, 0)),0)</f>
        <v>0</v>
      </c>
      <c r="L26" s="42">
        <f>SUMIFS(ARF[Amount in Euro], ARF[Co Director],summaryByDirector[Name], ARF[Date], "&gt;" &amp; cleanDateMilestone3,ARF[Date], "&lt;=" &amp; cleanDateMilestone4)</f>
        <v>0</v>
      </c>
      <c r="M26" s="42">
        <f>IFERROR(INDEX(#REF!,MATCH("Subtotal " &amp; summaryByDirector[[#This Row],[Name]],#REF!, 0)),0)</f>
        <v>0</v>
      </c>
      <c r="N26" s="42">
        <f xml:space="preserve"> SUMIFS(ARF[Amount in Euro], ARF[Co Director],summaryByDirector[Name], ARF[Date], "&gt;" &amp; cleanDateMilestone4)</f>
        <v>0</v>
      </c>
    </row>
    <row r="27" spans="1:14" x14ac:dyDescent="0.2">
      <c r="A27" s="40" t="str">
        <f>IFERROR(INDEX(directors[Role],ROW(summaryByDirector[#This Row])-ROW(summaryByDirector[#Headers])),"")</f>
        <v>CoF</v>
      </c>
      <c r="B27" s="53">
        <f>IFERROR(INDEX(directors[Last],ROW(summaryByDirector[#This Row])-ROW(summaryByDirector[#Headers])),"")</f>
        <v>0</v>
      </c>
      <c r="C27" s="42">
        <f ca="1" xml:space="preserve"> summaryByDirector[[#This Row],[Budget Kickoff]] * (dateReport &gt; cleanDateKickoff) + summaryByDirector[[#This Row],[Budget Initial]] *(dateReport &gt; cleanDateMilestone1) + summaryByDirector[[#This Row],[Budget Milestone 1]] * (dateReport &gt; cleanDateMilestone2) +  summaryByDirector[[#This Row],[Budget Milestone 2]] * (dateReport&gt;cleanDateMilestone3) +  summaryByDirector[[#This Row],[Budget Milestone 3]] *(dateReport &gt; cleanDateMilestone4)</f>
        <v>0</v>
      </c>
      <c r="D27" s="42">
        <f>SUMIFS(ARF[Amount in Euro], ARF[Co Director],summaryByDirector[Name], ARF[Date], "&lt;=" &amp; dateReport)</f>
        <v>0</v>
      </c>
      <c r="E27" s="42">
        <f ca="1">IFERROR(INDEX(budgetSummary[Milestone 1],MATCH("Subtotal " &amp; summaryByDirector[[#This Row],[Name]], budgetSummary[Category],0)),0)</f>
        <v>0</v>
      </c>
      <c r="F27" s="42">
        <f>SUMIFS(ARF[Amount in Euro], ARF[Co Director],summaryByDirector[Name], ARF[Date], "&gt;" &amp; cleanDateKickoff,ARF[Date], "&lt;=" &amp; cleanDateMilestone1)</f>
        <v>0</v>
      </c>
      <c r="G27" s="42">
        <f>IFERROR(INDEX(#REF!,MATCH("Subtotal " &amp; summaryByDirector[[#This Row],[Name]],#REF!, 0)),0)</f>
        <v>0</v>
      </c>
      <c r="H27" s="42">
        <f>SUMIFS(ARF[Amount in Euro], ARF[Co Director],summaryByDirector[Name], ARF[Date], "&gt;" &amp; cleanDateMilestone1,ARF[Date], "&lt;=" &amp; cleanDateMilestone2)</f>
        <v>0</v>
      </c>
      <c r="I27" s="42">
        <f>IFERROR(INDEX(#REF!,MATCH("Subtotal " &amp; summaryByDirector[[#This Row],[Name]],#REF!, 0)),0)</f>
        <v>0</v>
      </c>
      <c r="J27" s="42">
        <f>SUMIFS(ARF[Amount in Euro], ARF[Co Director],summaryByDirector[Name], ARF[Date], "&gt;" &amp; cleanDateMilestone2,ARF[Date], "&lt;=" &amp; cleanDateMilestone3)</f>
        <v>0</v>
      </c>
      <c r="K27" s="42">
        <f>IFERROR(INDEX(#REF!,MATCH("Subtotal " &amp; summaryByDirector[[#This Row],[Name]],#REF!, 0)),0)</f>
        <v>0</v>
      </c>
      <c r="L27" s="42">
        <f>SUMIFS(ARF[Amount in Euro], ARF[Co Director],summaryByDirector[Name], ARF[Date], "&gt;" &amp; cleanDateMilestone3,ARF[Date], "&lt;=" &amp; cleanDateMilestone4)</f>
        <v>0</v>
      </c>
      <c r="M27" s="42">
        <f>IFERROR(INDEX(#REF!,MATCH("Subtotal " &amp; summaryByDirector[[#This Row],[Name]],#REF!, 0)),0)</f>
        <v>0</v>
      </c>
      <c r="N27" s="42">
        <f xml:space="preserve"> SUMIFS(ARF[Amount in Euro], ARF[Co Director],summaryByDirector[Name], ARF[Date], "&gt;" &amp; cleanDateMilestone4)</f>
        <v>0</v>
      </c>
    </row>
    <row r="28" spans="1:14" x14ac:dyDescent="0.2">
      <c r="A28" s="40" t="str">
        <f>IFERROR(INDEX(directors[Role],ROW(summaryByDirector[#This Row])-ROW(summaryByDirector[#Headers])),"")</f>
        <v>CoG</v>
      </c>
      <c r="B28" s="53">
        <f>IFERROR(INDEX(directors[Last],ROW(summaryByDirector[#This Row])-ROW(summaryByDirector[#Headers])),"")</f>
        <v>0</v>
      </c>
      <c r="C28" s="42">
        <f ca="1" xml:space="preserve"> summaryByDirector[[#This Row],[Budget Kickoff]] * (dateReport &gt; cleanDateKickoff) + summaryByDirector[[#This Row],[Budget Initial]] *(dateReport &gt; cleanDateMilestone1) + summaryByDirector[[#This Row],[Budget Milestone 1]] * (dateReport &gt; cleanDateMilestone2) +  summaryByDirector[[#This Row],[Budget Milestone 2]] * (dateReport&gt;cleanDateMilestone3) +  summaryByDirector[[#This Row],[Budget Milestone 3]] *(dateReport &gt; cleanDateMilestone4)</f>
        <v>0</v>
      </c>
      <c r="D28" s="42">
        <f>SUMIFS(ARF[Amount in Euro], ARF[Co Director],summaryByDirector[Name], ARF[Date], "&lt;=" &amp; dateReport)</f>
        <v>0</v>
      </c>
      <c r="E28" s="42">
        <f ca="1">IFERROR(INDEX(budgetSummary[Milestone 1],MATCH("Subtotal " &amp; summaryByDirector[[#This Row],[Name]], budgetSummary[Category],0)),0)</f>
        <v>0</v>
      </c>
      <c r="F28" s="42">
        <f>SUMIFS(ARF[Amount in Euro], ARF[Co Director],summaryByDirector[Name], ARF[Date], "&gt;" &amp; cleanDateKickoff,ARF[Date], "&lt;=" &amp; cleanDateMilestone1)</f>
        <v>0</v>
      </c>
      <c r="G28" s="42">
        <f>IFERROR(INDEX(#REF!,MATCH("Subtotal " &amp; summaryByDirector[[#This Row],[Name]],#REF!, 0)),0)</f>
        <v>0</v>
      </c>
      <c r="H28" s="42">
        <f>SUMIFS(ARF[Amount in Euro], ARF[Co Director],summaryByDirector[Name], ARF[Date], "&gt;" &amp; cleanDateMilestone1,ARF[Date], "&lt;=" &amp; cleanDateMilestone2)</f>
        <v>0</v>
      </c>
      <c r="I28" s="42">
        <f>IFERROR(INDEX(#REF!,MATCH("Subtotal " &amp; summaryByDirector[[#This Row],[Name]],#REF!, 0)),0)</f>
        <v>0</v>
      </c>
      <c r="J28" s="42">
        <f>SUMIFS(ARF[Amount in Euro], ARF[Co Director],summaryByDirector[Name], ARF[Date], "&gt;" &amp; cleanDateMilestone2,ARF[Date], "&lt;=" &amp; cleanDateMilestone3)</f>
        <v>0</v>
      </c>
      <c r="K28" s="42">
        <f>IFERROR(INDEX(#REF!,MATCH("Subtotal " &amp; summaryByDirector[[#This Row],[Name]],#REF!, 0)),0)</f>
        <v>0</v>
      </c>
      <c r="L28" s="42">
        <f>SUMIFS(ARF[Amount in Euro], ARF[Co Director],summaryByDirector[Name], ARF[Date], "&gt;" &amp; cleanDateMilestone3,ARF[Date], "&lt;=" &amp; cleanDateMilestone4)</f>
        <v>0</v>
      </c>
      <c r="M28" s="42">
        <f>IFERROR(INDEX(#REF!,MATCH("Subtotal " &amp; summaryByDirector[[#This Row],[Name]],#REF!, 0)),0)</f>
        <v>0</v>
      </c>
      <c r="N28" s="42">
        <f xml:space="preserve"> SUMIFS(ARF[Amount in Euro], ARF[Co Director],summaryByDirector[Name], ARF[Date], "&gt;" &amp; cleanDateMilestone4)</f>
        <v>0</v>
      </c>
    </row>
    <row r="29" spans="1:14" x14ac:dyDescent="0.2">
      <c r="A29" s="40" t="str">
        <f>IFERROR(INDEX(directors[Role],ROW(summaryByDirector[#This Row])-ROW(summaryByDirector[#Headers])),"")</f>
        <v>CoH</v>
      </c>
      <c r="B29" s="53">
        <f>IFERROR(INDEX(directors[Last],ROW(summaryByDirector[#This Row])-ROW(summaryByDirector[#Headers])),"")</f>
        <v>0</v>
      </c>
      <c r="C29" s="42">
        <f ca="1" xml:space="preserve"> summaryByDirector[[#This Row],[Budget Kickoff]] * (dateReport &gt; cleanDateKickoff) + summaryByDirector[[#This Row],[Budget Initial]] *(dateReport &gt; cleanDateMilestone1) + summaryByDirector[[#This Row],[Budget Milestone 1]] * (dateReport &gt; cleanDateMilestone2) +  summaryByDirector[[#This Row],[Budget Milestone 2]] * (dateReport&gt;cleanDateMilestone3) +  summaryByDirector[[#This Row],[Budget Milestone 3]] *(dateReport &gt; cleanDateMilestone4)</f>
        <v>0</v>
      </c>
      <c r="D29" s="42">
        <f>SUMIFS(ARF[Amount in Euro], ARF[Co Director],summaryByDirector[Name], ARF[Date], "&lt;=" &amp; dateReport)</f>
        <v>0</v>
      </c>
      <c r="E29" s="42">
        <f ca="1">IFERROR(INDEX(budgetSummary[Milestone 1],MATCH("Subtotal " &amp; summaryByDirector[[#This Row],[Name]], budgetSummary[Category],0)),0)</f>
        <v>0</v>
      </c>
      <c r="F29" s="42">
        <f>SUMIFS(ARF[Amount in Euro], ARF[Co Director],summaryByDirector[Name], ARF[Date], "&gt;" &amp; cleanDateKickoff,ARF[Date], "&lt;=" &amp; cleanDateMilestone1)</f>
        <v>0</v>
      </c>
      <c r="G29" s="42">
        <f>IFERROR(INDEX(#REF!,MATCH("Subtotal " &amp; summaryByDirector[[#This Row],[Name]],#REF!, 0)),0)</f>
        <v>0</v>
      </c>
      <c r="H29" s="42">
        <f>SUMIFS(ARF[Amount in Euro], ARF[Co Director],summaryByDirector[Name], ARF[Date], "&gt;" &amp; cleanDateMilestone1,ARF[Date], "&lt;=" &amp; cleanDateMilestone2)</f>
        <v>0</v>
      </c>
      <c r="I29" s="42">
        <f>IFERROR(INDEX(#REF!,MATCH("Subtotal " &amp; summaryByDirector[[#This Row],[Name]],#REF!, 0)),0)</f>
        <v>0</v>
      </c>
      <c r="J29" s="42">
        <f>SUMIFS(ARF[Amount in Euro], ARF[Co Director],summaryByDirector[Name], ARF[Date], "&gt;" &amp; cleanDateMilestone2,ARF[Date], "&lt;=" &amp; cleanDateMilestone3)</f>
        <v>0</v>
      </c>
      <c r="K29" s="42">
        <f>IFERROR(INDEX(#REF!,MATCH("Subtotal " &amp; summaryByDirector[[#This Row],[Name]],#REF!, 0)),0)</f>
        <v>0</v>
      </c>
      <c r="L29" s="42">
        <f>SUMIFS(ARF[Amount in Euro], ARF[Co Director],summaryByDirector[Name], ARF[Date], "&gt;" &amp; cleanDateMilestone3,ARF[Date], "&lt;=" &amp; cleanDateMilestone4)</f>
        <v>0</v>
      </c>
      <c r="M29" s="42">
        <f>IFERROR(INDEX(#REF!,MATCH("Subtotal " &amp; summaryByDirector[[#This Row],[Name]],#REF!, 0)),0)</f>
        <v>0</v>
      </c>
      <c r="N29" s="42">
        <f xml:space="preserve"> SUMIFS(ARF[Amount in Euro], ARF[Co Director],summaryByDirector[Name], ARF[Date], "&gt;" &amp; cleanDateMilestone4)</f>
        <v>0</v>
      </c>
    </row>
    <row r="30" spans="1:14" x14ac:dyDescent="0.2">
      <c r="A30" s="37" t="s">
        <v>403</v>
      </c>
      <c r="B30" s="54" t="s">
        <v>426</v>
      </c>
      <c r="C30" s="42">
        <f ca="1">SUBTOTAL(109,summaryByDirector[Budget to Date])</f>
        <v>0</v>
      </c>
      <c r="D30" s="42">
        <f>SUBTOTAL(109,summaryByDirector[Spend to Date])</f>
        <v>0</v>
      </c>
      <c r="E30" s="42">
        <f ca="1">SUBTOTAL(109,summaryByDirector[Budget Kickoff])</f>
        <v>0</v>
      </c>
      <c r="F30" s="42">
        <f>SUBTOTAL(109,summaryByDirector[Spend K to I])</f>
        <v>0</v>
      </c>
      <c r="G30" s="42">
        <f>SUBTOTAL(109,summaryByDirector[Budget Initial])</f>
        <v>0</v>
      </c>
      <c r="H30" s="42">
        <f>SUBTOTAL(109,summaryByDirector[Spend I to M1])</f>
        <v>0</v>
      </c>
      <c r="I30" s="42">
        <f>SUBTOTAL(109,summaryByDirector[Budget Milestone 1])</f>
        <v>0</v>
      </c>
      <c r="J30" s="42">
        <f>SUBTOTAL(109,summaryByDirector[Spend M1 to M2])</f>
        <v>0</v>
      </c>
      <c r="K30" s="42">
        <f>SUBTOTAL(109,summaryByDirector[Budget Milestone 2])</f>
        <v>0</v>
      </c>
      <c r="L30" s="42">
        <f>SUBTOTAL(109,summaryByDirector[Spend M2 to M3])</f>
        <v>0</v>
      </c>
      <c r="M30" s="42">
        <f>SUBTOTAL(109,summaryByDirector[Budget Milestone 3])</f>
        <v>0</v>
      </c>
      <c r="N30" s="42">
        <f>SUBTOTAL(109,summaryByDirector[Spend M3 to Final])</f>
        <v>0</v>
      </c>
    </row>
    <row r="40" spans="2:14" ht="39" thickBot="1" x14ac:dyDescent="0.25">
      <c r="B40" s="55" t="s">
        <v>395</v>
      </c>
      <c r="C40" s="39" t="s">
        <v>404</v>
      </c>
      <c r="D40" s="39" t="s">
        <v>405</v>
      </c>
      <c r="E40" s="39" t="s">
        <v>420</v>
      </c>
      <c r="F40" s="39" t="s">
        <v>421</v>
      </c>
      <c r="G40" s="39" t="s">
        <v>411</v>
      </c>
      <c r="H40" s="39" t="s">
        <v>422</v>
      </c>
      <c r="I40" s="39" t="s">
        <v>414</v>
      </c>
      <c r="J40" s="39" t="s">
        <v>423</v>
      </c>
      <c r="K40" s="39" t="s">
        <v>415</v>
      </c>
      <c r="L40" s="39" t="s">
        <v>424</v>
      </c>
      <c r="M40" s="39" t="s">
        <v>416</v>
      </c>
      <c r="N40" s="39" t="s">
        <v>425</v>
      </c>
    </row>
    <row r="41" spans="2:14" ht="13.5" thickTop="1" x14ac:dyDescent="0.2">
      <c r="B41" s="53" t="str">
        <f>IFERROR(INDEX(expense_categories,ROW(summaryByCategory[#This Row])-ROW(summaryByCategory[#Headers])),"")</f>
        <v>Equipment</v>
      </c>
      <c r="C41" s="56" t="e">
        <f ca="1">summaryByCategory[[#This Row],[Budget Kickoff]] * (dateReport &gt; dateKickoff) + summaryByCategory[[#This Row],[Budget Initial]] * (dateReport &gt; dateMilestone1) +summaryByCategory[[#This Row],[Budget Milestone 1]] * (dateReport &gt; dateMilestone2) + summaryByCategory[[#This Row],[Budget Milestone 2]] * (dateReport&gt;dateMilestone3) +  summaryByCategory[[#This Row],[Budget Milestone 3]] * (dateReport &gt; dateMilestone4)</f>
        <v>#REF!</v>
      </c>
      <c r="D41" s="56">
        <f>SUMIFS(ARF[Amount in Euro], ARF[Category],summaryByCategory[Category],ARF[Date], "&lt;=" &amp; dateReport)</f>
        <v>0</v>
      </c>
      <c r="E41" s="56">
        <f ca="1">SUMIFS(budgetSummary[Milestone 1],budgetSummary[Category], summaryByCategory[[#This Row],[Category]], budgetSummary[director], "&lt;&gt;1")</f>
        <v>0</v>
      </c>
      <c r="F41" s="56">
        <f>SUMIFS(ARF[Amount in Euro], ARF[Category],summaryByCategory[Category], ARF[Date], "&gt;=" &amp; cleanDateKickoff,ARF[Date], "&lt;=" &amp; cleanDateMilestone1)</f>
        <v>0</v>
      </c>
      <c r="G41" s="56" t="e">
        <f>SUMIFS(#REF!,#REF!, summaryByCategory[[#This Row],[Category]],#REF!, "&lt;&gt;1")</f>
        <v>#REF!</v>
      </c>
      <c r="H41" s="56">
        <f>SUMIFS(ARF[Amount in Euro], ARF[Category],summaryByCategory[Category], ARF[Date], "&gt;" &amp; cleanDateMilestone1,ARF[Date], "&lt;=" &amp; cleanDateMilestone2)</f>
        <v>0</v>
      </c>
      <c r="I41" s="56" t="e">
        <f>SUMIFS(#REF!,#REF!, summaryByCategory[[#This Row],[Category]],#REF!, "&lt;&gt;1")</f>
        <v>#REF!</v>
      </c>
      <c r="J41" s="56">
        <f>SUMIFS(ARF[Amount in Euro], ARF[Category],summaryByCategory[Category], ARF[Date], "&gt;" &amp; cleanDateMilestone2,ARF[Date], "&lt;=" &amp; cleanDateMilestone3)</f>
        <v>0</v>
      </c>
      <c r="K41" s="56" t="e">
        <f>SUMIFS(#REF!,#REF!, summaryByCategory[[#This Row],[Category]],#REF!, "&lt;&gt;1")</f>
        <v>#REF!</v>
      </c>
      <c r="L41" s="56">
        <f>SUMIFS(ARF[Amount in Euro], ARF[Category],summaryByCategory[Category], ARF[Date], "&gt;" &amp; CLEAN(dateMilestone3),ARF[Date], "&lt;=" &amp; cleanDateMilestone4)</f>
        <v>0</v>
      </c>
      <c r="M41" s="56" t="e">
        <f>SUMIFS(#REF!,#REF!, summaryByCategory[[#This Row],[Category]],#REF!, "&lt;&gt;1")</f>
        <v>#REF!</v>
      </c>
      <c r="N41" s="57">
        <f>SUMIFS(ARF[Amount in Euro], ARF[Category],summaryByCategory[Category], ARF[Date], "&gt;" &amp; cleanDateMilestone4,ARF[Date], "&lt;=" &amp; cleanDateFinal)</f>
        <v>0</v>
      </c>
    </row>
    <row r="42" spans="2:14" x14ac:dyDescent="0.2">
      <c r="B42" s="53" t="str">
        <f>IFERROR(INDEX(expense_categories,ROW(summaryByCategory[#This Row])-ROW(summaryByCategory[#Headers])),"")</f>
        <v>Training</v>
      </c>
      <c r="C42" s="56" t="e">
        <f ca="1">summaryByCategory[[#This Row],[Budget Kickoff]] * (dateReport &gt; dateKickoff) + summaryByCategory[[#This Row],[Budget Initial]] * (dateReport &gt; dateMilestone1) +summaryByCategory[[#This Row],[Budget Milestone 1]] * (dateReport &gt; dateMilestone2) + summaryByCategory[[#This Row],[Budget Milestone 2]] * (dateReport&gt;dateMilestone3) +  summaryByCategory[[#This Row],[Budget Milestone 3]] * (dateReport &gt; dateMilestone4)</f>
        <v>#REF!</v>
      </c>
      <c r="D42" s="56">
        <f>SUMIFS(ARF[Amount in Euro], ARF[Category],summaryByCategory[Category],ARF[Date], "&lt;=" &amp; dateReport)</f>
        <v>0</v>
      </c>
      <c r="E42" s="56">
        <f ca="1">SUMIFS(budgetSummary[Milestone 1],budgetSummary[Category], summaryByCategory[[#This Row],[Category]], budgetSummary[director], "&lt;&gt;1")</f>
        <v>0</v>
      </c>
      <c r="F42" s="56">
        <f>SUMIFS(ARF[Amount in Euro], ARF[Category],summaryByCategory[Category], ARF[Date], "&gt;=" &amp; cleanDateKickoff,ARF[Date], "&lt;=" &amp; cleanDateMilestone1)</f>
        <v>0</v>
      </c>
      <c r="G42" s="56" t="e">
        <f>SUMIFS(#REF!,#REF!, summaryByCategory[[#This Row],[Category]],#REF!, "&lt;&gt;1")</f>
        <v>#REF!</v>
      </c>
      <c r="H42" s="56">
        <f>SUMIFS(ARF[Amount in Euro], ARF[Category],summaryByCategory[Category], ARF[Date], "&gt;" &amp; cleanDateMilestone1,ARF[Date], "&lt;=" &amp; cleanDateMilestone2)</f>
        <v>0</v>
      </c>
      <c r="I42" s="56" t="e">
        <f>SUMIFS(#REF!,#REF!, summaryByCategory[[#This Row],[Category]],#REF!, "&lt;&gt;1")</f>
        <v>#REF!</v>
      </c>
      <c r="J42" s="56">
        <f>SUMIFS(ARF[Amount in Euro], ARF[Category],summaryByCategory[Category], ARF[Date], "&gt;" &amp; cleanDateMilestone2,ARF[Date], "&lt;=" &amp; cleanDateMilestone3)</f>
        <v>0</v>
      </c>
      <c r="K42" s="56" t="e">
        <f>SUMIFS(#REF!,#REF!, summaryByCategory[[#This Row],[Category]],#REF!, "&lt;&gt;1")</f>
        <v>#REF!</v>
      </c>
      <c r="L42" s="56">
        <f>SUMIFS(ARF[Amount in Euro], ARF[Category],summaryByCategory[Category], ARF[Date], "&gt;" &amp; CLEAN(dateMilestone3),ARF[Date], "&lt;=" &amp; cleanDateMilestone4)</f>
        <v>0</v>
      </c>
      <c r="M42" s="56" t="e">
        <f>SUMIFS(#REF!,#REF!, summaryByCategory[[#This Row],[Category]],#REF!, "&lt;&gt;1")</f>
        <v>#REF!</v>
      </c>
      <c r="N42" s="57">
        <f>SUMIFS(ARF[Amount in Euro], ARF[Category],summaryByCategory[Category], ARF[Date], "&gt;" &amp; cleanDateMilestone4,ARF[Date], "&lt;=" &amp; cleanDateFinal)</f>
        <v>0</v>
      </c>
    </row>
    <row r="43" spans="2:14" x14ac:dyDescent="0.2">
      <c r="B43" s="53" t="str">
        <f>IFERROR(INDEX(expense_categories,ROW(summaryByCategory[#This Row])-ROW(summaryByCategory[#Headers])),"")</f>
        <v>Communication &amp; Publication</v>
      </c>
      <c r="C43" s="56" t="e">
        <f ca="1">summaryByCategory[[#This Row],[Budget Kickoff]] * (dateReport &gt; dateKickoff) + summaryByCategory[[#This Row],[Budget Initial]] * (dateReport &gt; dateMilestone1) +summaryByCategory[[#This Row],[Budget Milestone 1]] * (dateReport &gt; dateMilestone2) + summaryByCategory[[#This Row],[Budget Milestone 2]] * (dateReport&gt;dateMilestone3) +  summaryByCategory[[#This Row],[Budget Milestone 3]] * (dateReport &gt; dateMilestone4)</f>
        <v>#REF!</v>
      </c>
      <c r="D43" s="56">
        <f>SUMIFS(ARF[Amount in Euro], ARF[Category],summaryByCategory[Category],ARF[Date], "&lt;=" &amp; dateReport)</f>
        <v>0</v>
      </c>
      <c r="E43" s="56">
        <f ca="1">SUMIFS(budgetSummary[Milestone 1],budgetSummary[Category], summaryByCategory[[#This Row],[Category]], budgetSummary[director], "&lt;&gt;1")</f>
        <v>0</v>
      </c>
      <c r="F43" s="56">
        <f>SUMIFS(ARF[Amount in Euro], ARF[Category],summaryByCategory[Category], ARF[Date], "&gt;=" &amp; cleanDateKickoff,ARF[Date], "&lt;=" &amp; cleanDateMilestone1)</f>
        <v>0</v>
      </c>
      <c r="G43" s="56" t="e">
        <f>SUMIFS(#REF!,#REF!, summaryByCategory[[#This Row],[Category]],#REF!, "&lt;&gt;1")</f>
        <v>#REF!</v>
      </c>
      <c r="H43" s="56">
        <f>SUMIFS(ARF[Amount in Euro], ARF[Category],summaryByCategory[Category], ARF[Date], "&gt;" &amp; cleanDateMilestone1,ARF[Date], "&lt;=" &amp; cleanDateMilestone2)</f>
        <v>0</v>
      </c>
      <c r="I43" s="56" t="e">
        <f>SUMIFS(#REF!,#REF!, summaryByCategory[[#This Row],[Category]],#REF!, "&lt;&gt;1")</f>
        <v>#REF!</v>
      </c>
      <c r="J43" s="56">
        <f>SUMIFS(ARF[Amount in Euro], ARF[Category],summaryByCategory[Category], ARF[Date], "&gt;" &amp; cleanDateMilestone2,ARF[Date], "&lt;=" &amp; cleanDateMilestone3)</f>
        <v>0</v>
      </c>
      <c r="K43" s="56" t="e">
        <f>SUMIFS(#REF!,#REF!, summaryByCategory[[#This Row],[Category]],#REF!, "&lt;&gt;1")</f>
        <v>#REF!</v>
      </c>
      <c r="L43" s="56">
        <f>SUMIFS(ARF[Amount in Euro], ARF[Category],summaryByCategory[Category], ARF[Date], "&gt;" &amp; CLEAN(dateMilestone3),ARF[Date], "&lt;=" &amp; cleanDateMilestone4)</f>
        <v>0</v>
      </c>
      <c r="M43" s="56" t="e">
        <f>SUMIFS(#REF!,#REF!, summaryByCategory[[#This Row],[Category]],#REF!, "&lt;&gt;1")</f>
        <v>#REF!</v>
      </c>
      <c r="N43" s="57">
        <f>SUMIFS(ARF[Amount in Euro], ARF[Category],summaryByCategory[Category], ARF[Date], "&gt;" &amp; cleanDateMilestone4,ARF[Date], "&lt;=" &amp; cleanDateFinal)</f>
        <v>0</v>
      </c>
    </row>
    <row r="44" spans="2:14" x14ac:dyDescent="0.2">
      <c r="B44" s="53" t="str">
        <f>IFERROR(INDEX(expense_categories,ROW(summaryByCategory[#This Row])-ROW(summaryByCategory[#Headers])),"")</f>
        <v>Travel</v>
      </c>
      <c r="C44" s="56" t="e">
        <f ca="1">summaryByCategory[[#This Row],[Budget Kickoff]] * (dateReport &gt; dateKickoff) + summaryByCategory[[#This Row],[Budget Initial]] * (dateReport &gt; dateMilestone1) +summaryByCategory[[#This Row],[Budget Milestone 1]] * (dateReport &gt; dateMilestone2) + summaryByCategory[[#This Row],[Budget Milestone 2]] * (dateReport&gt;dateMilestone3) +  summaryByCategory[[#This Row],[Budget Milestone 3]] * (dateReport &gt; dateMilestone4)</f>
        <v>#REF!</v>
      </c>
      <c r="D44" s="56">
        <f>SUMIFS(ARF[Amount in Euro], ARF[Category],summaryByCategory[Category],ARF[Date], "&lt;=" &amp; dateReport)</f>
        <v>0</v>
      </c>
      <c r="E44" s="56">
        <f ca="1">SUMIFS(budgetSummary[Milestone 1],budgetSummary[Category], summaryByCategory[[#This Row],[Category]], budgetSummary[director], "&lt;&gt;1")</f>
        <v>0</v>
      </c>
      <c r="F44" s="56">
        <f>SUMIFS(ARF[Amount in Euro], ARF[Category],summaryByCategory[Category], ARF[Date], "&gt;=" &amp; cleanDateKickoff,ARF[Date], "&lt;=" &amp; cleanDateMilestone1)</f>
        <v>0</v>
      </c>
      <c r="G44" s="56" t="e">
        <f>SUMIFS(#REF!,#REF!, summaryByCategory[[#This Row],[Category]],#REF!, "&lt;&gt;1")</f>
        <v>#REF!</v>
      </c>
      <c r="H44" s="56">
        <f>SUMIFS(ARF[Amount in Euro], ARF[Category],summaryByCategory[Category], ARF[Date], "&gt;" &amp; cleanDateMilestone1,ARF[Date], "&lt;=" &amp; cleanDateMilestone2)</f>
        <v>0</v>
      </c>
      <c r="I44" s="56" t="e">
        <f>SUMIFS(#REF!,#REF!, summaryByCategory[[#This Row],[Category]],#REF!, "&lt;&gt;1")</f>
        <v>#REF!</v>
      </c>
      <c r="J44" s="56">
        <f>SUMIFS(ARF[Amount in Euro], ARF[Category],summaryByCategory[Category], ARF[Date], "&gt;" &amp; cleanDateMilestone2,ARF[Date], "&lt;=" &amp; cleanDateMilestone3)</f>
        <v>0</v>
      </c>
      <c r="K44" s="56" t="e">
        <f>SUMIFS(#REF!,#REF!, summaryByCategory[[#This Row],[Category]],#REF!, "&lt;&gt;1")</f>
        <v>#REF!</v>
      </c>
      <c r="L44" s="56">
        <f>SUMIFS(ARF[Amount in Euro], ARF[Category],summaryByCategory[Category], ARF[Date], "&gt;" &amp; CLEAN(dateMilestone3),ARF[Date], "&lt;=" &amp; cleanDateMilestone4)</f>
        <v>0</v>
      </c>
      <c r="M44" s="56" t="e">
        <f>SUMIFS(#REF!,#REF!, summaryByCategory[[#This Row],[Category]],#REF!, "&lt;&gt;1")</f>
        <v>#REF!</v>
      </c>
      <c r="N44" s="57">
        <f>SUMIFS(ARF[Amount in Euro], ARF[Category],summaryByCategory[Category], ARF[Date], "&gt;" &amp; cleanDateMilestone4,ARF[Date], "&lt;=" &amp; cleanDateFinal)</f>
        <v>0</v>
      </c>
    </row>
    <row r="45" spans="2:14" x14ac:dyDescent="0.2">
      <c r="B45" s="53" t="str">
        <f>IFERROR(INDEX(expense_categories,ROW(summaryByCategory[#This Row])-ROW(summaryByCategory[#Headers])),"")</f>
        <v>Consumables</v>
      </c>
      <c r="C45" s="56" t="e">
        <f ca="1">summaryByCategory[[#This Row],[Budget Kickoff]] * (dateReport &gt; dateKickoff) + summaryByCategory[[#This Row],[Budget Initial]] * (dateReport &gt; dateMilestone1) +summaryByCategory[[#This Row],[Budget Milestone 1]] * (dateReport &gt; dateMilestone2) + summaryByCategory[[#This Row],[Budget Milestone 2]] * (dateReport&gt;dateMilestone3) +  summaryByCategory[[#This Row],[Budget Milestone 3]] * (dateReport &gt; dateMilestone4)</f>
        <v>#REF!</v>
      </c>
      <c r="D45" s="56">
        <f>SUMIFS(ARF[Amount in Euro], ARF[Category],summaryByCategory[Category],ARF[Date], "&lt;=" &amp; dateReport)</f>
        <v>0</v>
      </c>
      <c r="E45" s="56">
        <f ca="1">SUMIFS(budgetSummary[Milestone 1],budgetSummary[Category], summaryByCategory[[#This Row],[Category]], budgetSummary[director], "&lt;&gt;1")</f>
        <v>0</v>
      </c>
      <c r="F45" s="56">
        <f>SUMIFS(ARF[Amount in Euro], ARF[Category],summaryByCategory[Category], ARF[Date], "&gt;=" &amp; cleanDateKickoff,ARF[Date], "&lt;=" &amp; cleanDateMilestone1)</f>
        <v>0</v>
      </c>
      <c r="G45" s="56" t="e">
        <f>SUMIFS(#REF!,#REF!, summaryByCategory[[#This Row],[Category]],#REF!, "&lt;&gt;1")</f>
        <v>#REF!</v>
      </c>
      <c r="H45" s="56">
        <f>SUMIFS(ARF[Amount in Euro], ARF[Category],summaryByCategory[Category], ARF[Date], "&gt;" &amp; cleanDateMilestone1,ARF[Date], "&lt;=" &amp; cleanDateMilestone2)</f>
        <v>0</v>
      </c>
      <c r="I45" s="56" t="e">
        <f>SUMIFS(#REF!,#REF!, summaryByCategory[[#This Row],[Category]],#REF!, "&lt;&gt;1")</f>
        <v>#REF!</v>
      </c>
      <c r="J45" s="56">
        <f>SUMIFS(ARF[Amount in Euro], ARF[Category],summaryByCategory[Category], ARF[Date], "&gt;" &amp; cleanDateMilestone2,ARF[Date], "&lt;=" &amp; cleanDateMilestone3)</f>
        <v>0</v>
      </c>
      <c r="K45" s="56" t="e">
        <f>SUMIFS(#REF!,#REF!, summaryByCategory[[#This Row],[Category]],#REF!, "&lt;&gt;1")</f>
        <v>#REF!</v>
      </c>
      <c r="L45" s="56">
        <f>SUMIFS(ARF[Amount in Euro], ARF[Category],summaryByCategory[Category], ARF[Date], "&gt;" &amp; CLEAN(dateMilestone3),ARF[Date], "&lt;=" &amp; cleanDateMilestone4)</f>
        <v>0</v>
      </c>
      <c r="M45" s="56" t="e">
        <f>SUMIFS(#REF!,#REF!, summaryByCategory[[#This Row],[Category]],#REF!, "&lt;&gt;1")</f>
        <v>#REF!</v>
      </c>
      <c r="N45" s="57">
        <f>SUMIFS(ARF[Amount in Euro], ARF[Category],summaryByCategory[Category], ARF[Date], "&gt;" &amp; cleanDateMilestone4,ARF[Date], "&lt;=" &amp; cleanDateFinal)</f>
        <v>0</v>
      </c>
    </row>
    <row r="46" spans="2:14" x14ac:dyDescent="0.2">
      <c r="B46" s="53" t="str">
        <f>IFERROR(INDEX(expense_categories,ROW(summaryByCategory[#This Row])-ROW(summaryByCategory[#Headers])),"")</f>
        <v>Other</v>
      </c>
      <c r="C46" s="56" t="e">
        <f ca="1">summaryByCategory[[#This Row],[Budget Kickoff]] * (dateReport &gt; dateKickoff) + summaryByCategory[[#This Row],[Budget Initial]] * (dateReport &gt; dateMilestone1) +summaryByCategory[[#This Row],[Budget Milestone 1]] * (dateReport &gt; dateMilestone2) + summaryByCategory[[#This Row],[Budget Milestone 2]] * (dateReport&gt;dateMilestone3) +  summaryByCategory[[#This Row],[Budget Milestone 3]] * (dateReport &gt; dateMilestone4)</f>
        <v>#REF!</v>
      </c>
      <c r="D46" s="56">
        <f>SUMIFS(ARF[Amount in Euro], ARF[Category],summaryByCategory[Category],ARF[Date], "&lt;=" &amp; dateReport)</f>
        <v>0</v>
      </c>
      <c r="E46" s="56">
        <f ca="1">SUMIFS(budgetSummary[Milestone 1],budgetSummary[Category], summaryByCategory[[#This Row],[Category]], budgetSummary[director], "&lt;&gt;1")</f>
        <v>0</v>
      </c>
      <c r="F46" s="56">
        <f>SUMIFS(ARF[Amount in Euro], ARF[Category],summaryByCategory[Category], ARF[Date], "&gt;=" &amp; cleanDateKickoff,ARF[Date], "&lt;=" &amp; cleanDateMilestone1)</f>
        <v>0</v>
      </c>
      <c r="G46" s="56" t="e">
        <f>SUMIFS(#REF!,#REF!, summaryByCategory[[#This Row],[Category]],#REF!, "&lt;&gt;1")</f>
        <v>#REF!</v>
      </c>
      <c r="H46" s="56">
        <f>SUMIFS(ARF[Amount in Euro], ARF[Category],summaryByCategory[Category], ARF[Date], "&gt;" &amp; cleanDateMilestone1,ARF[Date], "&lt;=" &amp; cleanDateMilestone2)</f>
        <v>0</v>
      </c>
      <c r="I46" s="56" t="e">
        <f>SUMIFS(#REF!,#REF!, summaryByCategory[[#This Row],[Category]],#REF!, "&lt;&gt;1")</f>
        <v>#REF!</v>
      </c>
      <c r="J46" s="56">
        <f>SUMIFS(ARF[Amount in Euro], ARF[Category],summaryByCategory[Category], ARF[Date], "&gt;" &amp; cleanDateMilestone2,ARF[Date], "&lt;=" &amp; cleanDateMilestone3)</f>
        <v>0</v>
      </c>
      <c r="K46" s="56" t="e">
        <f>SUMIFS(#REF!,#REF!, summaryByCategory[[#This Row],[Category]],#REF!, "&lt;&gt;1")</f>
        <v>#REF!</v>
      </c>
      <c r="L46" s="56">
        <f>SUMIFS(ARF[Amount in Euro], ARF[Category],summaryByCategory[Category], ARF[Date], "&gt;" &amp; CLEAN(dateMilestone3),ARF[Date], "&lt;=" &amp; cleanDateMilestone4)</f>
        <v>0</v>
      </c>
      <c r="M46" s="56" t="e">
        <f>SUMIFS(#REF!,#REF!, summaryByCategory[[#This Row],[Category]],#REF!, "&lt;&gt;1")</f>
        <v>#REF!</v>
      </c>
      <c r="N46" s="57">
        <f>SUMIFS(ARF[Amount in Euro], ARF[Category],summaryByCategory[Category], ARF[Date], "&gt;" &amp; cleanDateMilestone4,ARF[Date], "&lt;=" &amp; cleanDateFinal)</f>
        <v>0</v>
      </c>
    </row>
    <row r="47" spans="2:14" x14ac:dyDescent="0.2">
      <c r="B47" s="53" t="str">
        <f>IFERROR(INDEX(expense_categories,ROW(summaryByCategory[#This Row])-ROW(summaryByCategory[#Headers])),"")</f>
        <v>Stipends</v>
      </c>
      <c r="C47" s="56" t="e">
        <f ca="1">summaryByCategory[[#This Row],[Budget Kickoff]] * (dateReport &gt; dateKickoff) + summaryByCategory[[#This Row],[Budget Initial]] * (dateReport &gt; dateMilestone1) +summaryByCategory[[#This Row],[Budget Milestone 1]] * (dateReport &gt; dateMilestone2) + summaryByCategory[[#This Row],[Budget Milestone 2]] * (dateReport&gt;dateMilestone3) +  summaryByCategory[[#This Row],[Budget Milestone 3]] * (dateReport &gt; dateMilestone4)</f>
        <v>#REF!</v>
      </c>
      <c r="D47" s="56">
        <f>SUMIFS(ARF[Amount in Euro], ARF[Category],summaryByCategory[Category],ARF[Date], "&lt;=" &amp; dateReport)</f>
        <v>0</v>
      </c>
      <c r="E47" s="56">
        <f ca="1">SUMIFS(budgetSummary[Milestone 1],budgetSummary[Category], summaryByCategory[[#This Row],[Category]], budgetSummary[director], "&lt;&gt;1")</f>
        <v>0</v>
      </c>
      <c r="F47" s="56">
        <f>SUMIFS(ARF[Amount in Euro], ARF[Category],summaryByCategory[Category], ARF[Date], "&gt;=" &amp; cleanDateKickoff,ARF[Date], "&lt;=" &amp; cleanDateMilestone1)</f>
        <v>0</v>
      </c>
      <c r="G47" s="56" t="e">
        <f>SUMIFS(#REF!,#REF!, summaryByCategory[[#This Row],[Category]],#REF!, "&lt;&gt;1")</f>
        <v>#REF!</v>
      </c>
      <c r="H47" s="56">
        <f>SUMIFS(ARF[Amount in Euro], ARF[Category],summaryByCategory[Category], ARF[Date], "&gt;" &amp; cleanDateMilestone1,ARF[Date], "&lt;=" &amp; cleanDateMilestone2)</f>
        <v>0</v>
      </c>
      <c r="I47" s="56" t="e">
        <f>SUMIFS(#REF!,#REF!, summaryByCategory[[#This Row],[Category]],#REF!, "&lt;&gt;1")</f>
        <v>#REF!</v>
      </c>
      <c r="J47" s="56">
        <f>SUMIFS(ARF[Amount in Euro], ARF[Category],summaryByCategory[Category], ARF[Date], "&gt;" &amp; cleanDateMilestone2,ARF[Date], "&lt;=" &amp; cleanDateMilestone3)</f>
        <v>0</v>
      </c>
      <c r="K47" s="56" t="e">
        <f>SUMIFS(#REF!,#REF!, summaryByCategory[[#This Row],[Category]],#REF!, "&lt;&gt;1")</f>
        <v>#REF!</v>
      </c>
      <c r="L47" s="56">
        <f>SUMIFS(ARF[Amount in Euro], ARF[Category],summaryByCategory[Category], ARF[Date], "&gt;" &amp; CLEAN(dateMilestone3),ARF[Date], "&lt;=" &amp; cleanDateMilestone4)</f>
        <v>0</v>
      </c>
      <c r="M47" s="56" t="e">
        <f>SUMIFS(#REF!,#REF!, summaryByCategory[[#This Row],[Category]],#REF!, "&lt;&gt;1")</f>
        <v>#REF!</v>
      </c>
      <c r="N47" s="57">
        <f>SUMIFS(ARF[Amount in Euro], ARF[Category],summaryByCategory[Category], ARF[Date], "&gt;" &amp; cleanDateMilestone4,ARF[Date], "&lt;=" &amp; cleanDateFinal)</f>
        <v>0</v>
      </c>
    </row>
    <row r="48" spans="2:14" x14ac:dyDescent="0.2">
      <c r="B48" s="53" t="str">
        <f>IFERROR(INDEX(expense_categories,ROW(summaryByCategory[#This Row])-ROW(summaryByCategory[#Headers])),"")</f>
        <v>Co-financing of personnel</v>
      </c>
      <c r="C48" s="56" t="e">
        <f ca="1">summaryByCategory[[#This Row],[Budget Kickoff]] * (dateReport &gt; dateKickoff) + summaryByCategory[[#This Row],[Budget Initial]] * (dateReport &gt; dateMilestone1) +summaryByCategory[[#This Row],[Budget Milestone 1]] * (dateReport &gt; dateMilestone2) + summaryByCategory[[#This Row],[Budget Milestone 2]] * (dateReport&gt;dateMilestone3) +  summaryByCategory[[#This Row],[Budget Milestone 3]] * (dateReport &gt; dateMilestone4)</f>
        <v>#REF!</v>
      </c>
      <c r="D48" s="56">
        <f>SUMIFS(ARF[Amount in Euro], ARF[Category],summaryByCategory[Category],ARF[Date], "&lt;=" &amp; dateReport)</f>
        <v>0</v>
      </c>
      <c r="E48" s="56">
        <f ca="1">SUMIFS(budgetSummary[Milestone 1],budgetSummary[Category], summaryByCategory[[#This Row],[Category]], budgetSummary[director], "&lt;&gt;1")</f>
        <v>0</v>
      </c>
      <c r="F48" s="56">
        <f>SUMIFS(ARF[Amount in Euro], ARF[Category],summaryByCategory[Category], ARF[Date], "&gt;=" &amp; cleanDateKickoff,ARF[Date], "&lt;=" &amp; cleanDateMilestone1)</f>
        <v>0</v>
      </c>
      <c r="G48" s="56" t="e">
        <f>SUMIFS(#REF!,#REF!, summaryByCategory[[#This Row],[Category]],#REF!, "&lt;&gt;1")</f>
        <v>#REF!</v>
      </c>
      <c r="H48" s="56">
        <f>SUMIFS(ARF[Amount in Euro], ARF[Category],summaryByCategory[Category], ARF[Date], "&gt;" &amp; cleanDateMilestone1,ARF[Date], "&lt;=" &amp; cleanDateMilestone2)</f>
        <v>0</v>
      </c>
      <c r="I48" s="56" t="e">
        <f>SUMIFS(#REF!,#REF!, summaryByCategory[[#This Row],[Category]],#REF!, "&lt;&gt;1")</f>
        <v>#REF!</v>
      </c>
      <c r="J48" s="56">
        <f>SUMIFS(ARF[Amount in Euro], ARF[Category],summaryByCategory[Category], ARF[Date], "&gt;" &amp; cleanDateMilestone2,ARF[Date], "&lt;=" &amp; cleanDateMilestone3)</f>
        <v>0</v>
      </c>
      <c r="K48" s="56" t="e">
        <f>SUMIFS(#REF!,#REF!, summaryByCategory[[#This Row],[Category]],#REF!, "&lt;&gt;1")</f>
        <v>#REF!</v>
      </c>
      <c r="L48" s="56">
        <f>SUMIFS(ARF[Amount in Euro], ARF[Category],summaryByCategory[Category], ARF[Date], "&gt;" &amp; CLEAN(dateMilestone3),ARF[Date], "&lt;=" &amp; cleanDateMilestone4)</f>
        <v>0</v>
      </c>
      <c r="M48" s="56" t="e">
        <f>SUMIFS(#REF!,#REF!, summaryByCategory[[#This Row],[Category]],#REF!, "&lt;&gt;1")</f>
        <v>#REF!</v>
      </c>
      <c r="N48" s="57">
        <f>SUMIFS(ARF[Amount in Euro], ARF[Category],summaryByCategory[Category], ARF[Date], "&gt;" &amp; cleanDateMilestone4,ARF[Date], "&lt;=" &amp; cleanDateFinal)</f>
        <v>0</v>
      </c>
    </row>
    <row r="49" spans="2:14" x14ac:dyDescent="0.2">
      <c r="B49" s="53" t="str">
        <f>IFERROR(INDEX(expense_categories,ROW(summaryByCategory[#This Row])-ROW(summaryByCategory[#Headers])),"")</f>
        <v/>
      </c>
      <c r="C49" s="56" t="e">
        <f>summaryByCategory[[#This Row],[Budget Kickoff]] * (dateReport &gt; dateKickoff) + summaryByCategory[[#This Row],[Budget Initial]] * (dateReport &gt; dateMilestone1) +summaryByCategory[[#This Row],[Budget Milestone 1]] * (dateReport &gt; dateMilestone2) + summaryByCategory[[#This Row],[Budget Milestone 2]] * (dateReport&gt;dateMilestone3) +  summaryByCategory[[#This Row],[Budget Milestone 3]] * (dateReport &gt; dateMilestone4)</f>
        <v>#REF!</v>
      </c>
      <c r="D49" s="56">
        <f>SUMIFS(ARF[Amount in Euro], ARF[Category],summaryByCategory[Category],ARF[Date], "&lt;=" &amp; dateReport)</f>
        <v>0</v>
      </c>
      <c r="E49" s="56">
        <f>SUMIFS(budgetSummary[Milestone 1],budgetSummary[Category], summaryByCategory[[#This Row],[Category]], budgetSummary[director], "&lt;&gt;1")</f>
        <v>0</v>
      </c>
      <c r="F49" s="56">
        <f>SUMIFS(ARF[Amount in Euro], ARF[Category],summaryByCategory[Category], ARF[Date], "&gt;=" &amp; cleanDateKickoff,ARF[Date], "&lt;=" &amp; cleanDateMilestone1)</f>
        <v>0</v>
      </c>
      <c r="G49" s="56" t="e">
        <f>SUMIFS(#REF!,#REF!, summaryByCategory[[#This Row],[Category]],#REF!, "&lt;&gt;1")</f>
        <v>#REF!</v>
      </c>
      <c r="H49" s="56">
        <f>SUMIFS(ARF[Amount in Euro], ARF[Category],summaryByCategory[Category], ARF[Date], "&gt;" &amp; cleanDateMilestone1,ARF[Date], "&lt;=" &amp; cleanDateMilestone2)</f>
        <v>0</v>
      </c>
      <c r="I49" s="56" t="e">
        <f>SUMIFS(#REF!,#REF!, summaryByCategory[[#This Row],[Category]],#REF!, "&lt;&gt;1")</f>
        <v>#REF!</v>
      </c>
      <c r="J49" s="56">
        <f>SUMIFS(ARF[Amount in Euro], ARF[Category],summaryByCategory[Category], ARF[Date], "&gt;" &amp; cleanDateMilestone2,ARF[Date], "&lt;=" &amp; cleanDateMilestone3)</f>
        <v>0</v>
      </c>
      <c r="K49" s="56" t="e">
        <f>SUMIFS(#REF!,#REF!, summaryByCategory[[#This Row],[Category]],#REF!, "&lt;&gt;1")</f>
        <v>#REF!</v>
      </c>
      <c r="L49" s="56">
        <f>SUMIFS(ARF[Amount in Euro], ARF[Category],summaryByCategory[Category], ARF[Date], "&gt;" &amp; CLEAN(dateMilestone3),ARF[Date], "&lt;=" &amp; cleanDateMilestone4)</f>
        <v>0</v>
      </c>
      <c r="M49" s="56" t="e">
        <f>SUMIFS(#REF!,#REF!, summaryByCategory[[#This Row],[Category]],#REF!, "&lt;&gt;1")</f>
        <v>#REF!</v>
      </c>
      <c r="N49" s="57">
        <f>SUMIFS(ARF[Amount in Euro], ARF[Category],summaryByCategory[Category], ARF[Date], "&gt;" &amp; cleanDateMilestone4,ARF[Date], "&lt;=" &amp; cleanDateFinal)</f>
        <v>0</v>
      </c>
    </row>
    <row r="50" spans="2:14" x14ac:dyDescent="0.2">
      <c r="B50" s="50" t="s">
        <v>403</v>
      </c>
      <c r="C50" s="51" t="e">
        <f ca="1">SUBTOTAL(109,summaryByCategory[Budget to Date])</f>
        <v>#REF!</v>
      </c>
      <c r="D50" s="51">
        <f>SUBTOTAL(109,summaryByCategory[Spend to Date])</f>
        <v>0</v>
      </c>
      <c r="E50" s="51">
        <f ca="1">SUBTOTAL(109,summaryByCategory[Budget Kickoff])</f>
        <v>0</v>
      </c>
      <c r="F50" s="51">
        <f>SUBTOTAL(109,summaryByCategory[Spend K to I])</f>
        <v>0</v>
      </c>
      <c r="G50" s="51" t="e">
        <f>SUBTOTAL(109,summaryByCategory[Budget Initial])</f>
        <v>#REF!</v>
      </c>
      <c r="H50" s="51">
        <f>SUBTOTAL(109,summaryByCategory[Spend I to M1])</f>
        <v>0</v>
      </c>
      <c r="I50" s="51" t="e">
        <f>SUBTOTAL(109,summaryByCategory[Budget Milestone 1])</f>
        <v>#REF!</v>
      </c>
      <c r="J50" s="51">
        <f>SUBTOTAL(109,summaryByCategory[Spend M1 to M2])</f>
        <v>0</v>
      </c>
      <c r="K50" s="51" t="e">
        <f>SUBTOTAL(109,summaryByCategory[Budget Milestone 2])</f>
        <v>#REF!</v>
      </c>
      <c r="L50" s="51">
        <f>SUBTOTAL(109,summaryByCategory[Spend M2 to M3])</f>
        <v>0</v>
      </c>
      <c r="M50" s="51" t="e">
        <f>SUBTOTAL(109,summaryByCategory[Budget Milestone 3])</f>
        <v>#REF!</v>
      </c>
      <c r="N50" s="52">
        <f>SUBTOTAL(109,summaryByCategory[Spend M3 to Final])</f>
        <v>0</v>
      </c>
    </row>
  </sheetData>
  <mergeCells count="10">
    <mergeCell ref="M5:N5"/>
    <mergeCell ref="M1:N1"/>
    <mergeCell ref="M2:N2"/>
    <mergeCell ref="I1:L1"/>
    <mergeCell ref="I2:L2"/>
    <mergeCell ref="C1:D1"/>
    <mergeCell ref="C2:D2"/>
    <mergeCell ref="E1:H1"/>
    <mergeCell ref="E2:H2"/>
    <mergeCell ref="M4:N4"/>
  </mergeCells>
  <conditionalFormatting sqref="M2">
    <cfRule type="containsBlanks" dxfId="74" priority="10">
      <formula>LEN(TRIM(M2))=0</formula>
    </cfRule>
  </conditionalFormatting>
  <conditionalFormatting sqref="C2:L2 M5">
    <cfRule type="containsText" dxfId="73" priority="2" operator="containsText" text="please">
      <formula>NOT(ISERROR(SEARCH("please",C2)))</formula>
    </cfRule>
  </conditionalFormatting>
  <pageMargins left="0.7" right="0.7" top="0.75" bottom="0.75" header="0.3" footer="0.3"/>
  <pageSetup paperSize="9" orientation="landscape" r:id="rId1"/>
  <headerFooter>
    <oddHeader>&amp;LScience for Peace and Security Programme&amp;CFinancial Report&amp;RMulti-Year Project</oddHeader>
    <oddFooter>&amp;C&amp;P of &amp;P</oddFooter>
  </headerFooter>
  <drawing r:id="rId2"/>
  <tableParts count="2">
    <tablePart r:id="rId3"/>
    <tablePart r:id="rId4"/>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workbookViewId="0">
      <selection activeCell="I2" sqref="I2"/>
    </sheetView>
  </sheetViews>
  <sheetFormatPr defaultColWidth="9.140625" defaultRowHeight="12.75" x14ac:dyDescent="0.2"/>
  <cols>
    <col min="1" max="1" width="12.7109375" style="37" customWidth="1"/>
    <col min="2" max="2" width="10.7109375" style="37" bestFit="1" customWidth="1"/>
    <col min="3" max="3" width="12.7109375" style="37" customWidth="1"/>
    <col min="4" max="16384" width="9.140625" style="37"/>
  </cols>
  <sheetData>
    <row r="1" spans="1:9" x14ac:dyDescent="0.2">
      <c r="B1" s="37" t="s">
        <v>386</v>
      </c>
      <c r="C1" s="37" t="s">
        <v>413</v>
      </c>
      <c r="D1" s="37" t="s">
        <v>406</v>
      </c>
      <c r="E1" s="37" t="s">
        <v>436</v>
      </c>
      <c r="F1" s="37" t="s">
        <v>437</v>
      </c>
      <c r="G1" s="37" t="s">
        <v>438</v>
      </c>
      <c r="H1" s="37" t="s">
        <v>440</v>
      </c>
      <c r="I1" s="37" t="s">
        <v>439</v>
      </c>
    </row>
    <row r="2" spans="1:9" x14ac:dyDescent="0.2">
      <c r="A2" s="37" t="s">
        <v>413</v>
      </c>
      <c r="B2" s="59">
        <f>dateKickoff</f>
        <v>0</v>
      </c>
      <c r="C2" s="37" t="e">
        <f ca="1">INDIRECT("budget" &amp; C$1 &amp; "Overall[[#Totals],[" &amp; $A2 &amp; "]]")</f>
        <v>#REF!</v>
      </c>
      <c r="D2" s="37" t="e">
        <f ca="1">INDIRECT("budget" &amp; D$1 &amp; "Overall[[#Totals],[" &amp; $A2 &amp; "]]")</f>
        <v>#REF!</v>
      </c>
      <c r="E2" s="37" t="e">
        <f ca="1">INDIRECT("budget" &amp; E$1 &amp; "Overall[[#Totals],[" &amp; $A2 &amp; "]]")</f>
        <v>#REF!</v>
      </c>
      <c r="F2" s="37" t="e">
        <f ca="1">INDIRECT("budget" &amp; F$1 &amp; "Overall[[#Totals],[" &amp; $A2 &amp; "]]")</f>
        <v>#REF!</v>
      </c>
      <c r="G2" s="37" t="e">
        <f ca="1">INDIRECT("budget" &amp; G$1 &amp; "Overall[[#Totals],[" &amp; $A2 &amp; "]]")</f>
        <v>#REF!</v>
      </c>
      <c r="H2" s="37" t="e">
        <f ca="1">INDIRECT("budget" &amp; SUBSTITUTE(milestoneReport," ","") &amp; "Overall[[#Totals],[" &amp; $A2 &amp; "]]")</f>
        <v>#VALUE!</v>
      </c>
      <c r="I2" s="37" t="e">
        <f ca="1">INDIRECT("budget" &amp; SUBSTITUTE(milestoneCurrent," ","") &amp; "Overall[[#Totals],[" &amp; $A2 &amp; "]]")</f>
        <v>#VALUE!</v>
      </c>
    </row>
    <row r="3" spans="1:9" x14ac:dyDescent="0.2">
      <c r="A3" s="37" t="s">
        <v>431</v>
      </c>
      <c r="B3" s="59">
        <f>dateMilestone1</f>
        <v>0</v>
      </c>
      <c r="C3" s="37" t="e">
        <f t="shared" ref="C3:I3" ca="1" si="0">C2</f>
        <v>#REF!</v>
      </c>
      <c r="D3" s="37" t="e">
        <f t="shared" ca="1" si="0"/>
        <v>#REF!</v>
      </c>
      <c r="E3" s="37" t="e">
        <f t="shared" ca="1" si="0"/>
        <v>#REF!</v>
      </c>
      <c r="F3" s="37" t="e">
        <f t="shared" ca="1" si="0"/>
        <v>#REF!</v>
      </c>
      <c r="G3" s="37" t="e">
        <f t="shared" ca="1" si="0"/>
        <v>#REF!</v>
      </c>
      <c r="H3" s="37" t="e">
        <f t="shared" ca="1" si="0"/>
        <v>#VALUE!</v>
      </c>
      <c r="I3" s="37" t="e">
        <f t="shared" ca="1" si="0"/>
        <v>#VALUE!</v>
      </c>
    </row>
    <row r="4" spans="1:9" x14ac:dyDescent="0.2">
      <c r="A4" s="37" t="s">
        <v>406</v>
      </c>
      <c r="B4" s="59">
        <f>dateMilestone1</f>
        <v>0</v>
      </c>
      <c r="C4" s="37" t="e">
        <f ca="1">INDIRECT("budget" &amp; C$1 &amp; "Overall[[#Totals],[" &amp; $A4 &amp; "]]")+C3</f>
        <v>#REF!</v>
      </c>
      <c r="D4" s="37" t="e">
        <f ca="1">INDIRECT("budget" &amp; D$1 &amp; "Overall[[#Totals],[" &amp; $A4 &amp; "]]")+D3</f>
        <v>#REF!</v>
      </c>
      <c r="E4" s="37" t="e">
        <f ca="1">INDIRECT("budget" &amp; E$1 &amp; "Overall[[#Totals],[" &amp; $A4 &amp; "]]")+E3</f>
        <v>#REF!</v>
      </c>
      <c r="F4" s="37" t="e">
        <f ca="1">INDIRECT("budget" &amp; F$1 &amp; "Overall[[#Totals],[" &amp; $A4 &amp; "]]")+F3</f>
        <v>#REF!</v>
      </c>
      <c r="G4" s="37" t="e">
        <f ca="1">INDIRECT("budget" &amp; G$1 &amp; "Overall[[#Totals],[" &amp; $A4 &amp; "]]")+G3</f>
        <v>#REF!</v>
      </c>
      <c r="H4" s="37" t="e">
        <f ca="1">INDIRECT("budget" &amp; SUBSTITUTE(milestoneReport," ","") &amp; "Overall[[#Totals],[" &amp; $A4 &amp; "]]") + H2</f>
        <v>#VALUE!</v>
      </c>
      <c r="I4" s="37" t="e">
        <f ca="1">INDIRECT("budget" &amp; SUBSTITUTE(milestoneCurrent," ","") &amp; "Overall[[#Totals],[" &amp; $A4 &amp; "]]")+ I2</f>
        <v>#VALUE!</v>
      </c>
    </row>
    <row r="5" spans="1:9" x14ac:dyDescent="0.2">
      <c r="A5" s="37" t="s">
        <v>432</v>
      </c>
      <c r="B5" s="59">
        <f>dateMilestone2</f>
        <v>0</v>
      </c>
      <c r="C5" s="37" t="e">
        <f t="shared" ref="C5:I5" ca="1" si="1">C4</f>
        <v>#REF!</v>
      </c>
      <c r="D5" s="37" t="e">
        <f t="shared" ca="1" si="1"/>
        <v>#REF!</v>
      </c>
      <c r="E5" s="37" t="e">
        <f t="shared" ca="1" si="1"/>
        <v>#REF!</v>
      </c>
      <c r="F5" s="37" t="e">
        <f t="shared" ca="1" si="1"/>
        <v>#REF!</v>
      </c>
      <c r="G5" s="37" t="e">
        <f t="shared" ca="1" si="1"/>
        <v>#REF!</v>
      </c>
      <c r="H5" s="37" t="e">
        <f t="shared" ca="1" si="1"/>
        <v>#VALUE!</v>
      </c>
      <c r="I5" s="37" t="e">
        <f t="shared" ca="1" si="1"/>
        <v>#VALUE!</v>
      </c>
    </row>
    <row r="6" spans="1:9" x14ac:dyDescent="0.2">
      <c r="A6" s="37" t="s">
        <v>407</v>
      </c>
      <c r="B6" s="59">
        <f>dateMilestone2</f>
        <v>0</v>
      </c>
      <c r="C6" s="37" t="e">
        <f ca="1">INDIRECT("budget" &amp; C$1 &amp; "Overall[[#Totals],[" &amp; $A6 &amp; "]]")+C5</f>
        <v>#REF!</v>
      </c>
      <c r="D6" s="37" t="e">
        <f ca="1">INDIRECT("budget" &amp; D$1 &amp; "Overall[[#Totals],[" &amp; $A6 &amp; "]]")+D5</f>
        <v>#REF!</v>
      </c>
      <c r="E6" s="37" t="e">
        <f ca="1">INDIRECT("budget" &amp; E$1 &amp; "Overall[[#Totals],[" &amp; $A6 &amp; "]]")+E5</f>
        <v>#REF!</v>
      </c>
      <c r="F6" s="37" t="e">
        <f ca="1">INDIRECT("budget" &amp; F$1 &amp; "Overall[[#Totals],[" &amp; $A6 &amp; "]]")+F5</f>
        <v>#REF!</v>
      </c>
      <c r="G6" s="37" t="e">
        <f ca="1">INDIRECT("budget" &amp; G$1 &amp; "Overall[[#Totals],[" &amp; $A6 &amp; "]]")+G5</f>
        <v>#REF!</v>
      </c>
      <c r="H6" s="37" t="e">
        <f ca="1">INDIRECT("budget" &amp; SUBSTITUTE(milestoneReport," ","") &amp; "Overall[[#Totals],[" &amp; $A6 &amp; "]]") + H4</f>
        <v>#VALUE!</v>
      </c>
      <c r="I6" s="37" t="e">
        <f ca="1">INDIRECT("budget" &amp; SUBSTITUTE(milestoneCurrent," ","") &amp; "Overall[[#Totals],[" &amp; $A6 &amp; "]]")+ I4</f>
        <v>#VALUE!</v>
      </c>
    </row>
    <row r="7" spans="1:9" x14ac:dyDescent="0.2">
      <c r="A7" s="37" t="s">
        <v>433</v>
      </c>
      <c r="B7" s="59">
        <f>dateMilestone3</f>
        <v>0</v>
      </c>
      <c r="C7" s="37" t="e">
        <f t="shared" ref="C7:H7" ca="1" si="2">C6</f>
        <v>#REF!</v>
      </c>
      <c r="D7" s="37" t="e">
        <f t="shared" ca="1" si="2"/>
        <v>#REF!</v>
      </c>
      <c r="E7" s="37" t="e">
        <f t="shared" ca="1" si="2"/>
        <v>#REF!</v>
      </c>
      <c r="F7" s="37" t="e">
        <f t="shared" ca="1" si="2"/>
        <v>#REF!</v>
      </c>
      <c r="G7" s="37" t="e">
        <f t="shared" ca="1" si="2"/>
        <v>#REF!</v>
      </c>
      <c r="H7" s="37" t="e">
        <f t="shared" ca="1" si="2"/>
        <v>#VALUE!</v>
      </c>
      <c r="I7" s="37" t="e">
        <f ca="1">I6</f>
        <v>#VALUE!</v>
      </c>
    </row>
    <row r="8" spans="1:9" x14ac:dyDescent="0.2">
      <c r="A8" s="37" t="s">
        <v>408</v>
      </c>
      <c r="B8" s="59">
        <f>dateMilestone3</f>
        <v>0</v>
      </c>
      <c r="C8" s="37" t="e">
        <f ca="1">INDIRECT("budget" &amp; C$1 &amp; "Overall[[#Totals],[" &amp; $A8 &amp; "]]")+C7</f>
        <v>#REF!</v>
      </c>
      <c r="D8" s="37" t="e">
        <f ca="1">INDIRECT("budget" &amp; D$1 &amp; "Overall[[#Totals],[" &amp; $A8 &amp; "]]")+D7</f>
        <v>#REF!</v>
      </c>
      <c r="E8" s="37" t="e">
        <f ca="1">INDIRECT("budget" &amp; E$1 &amp; "Overall[[#Totals],[" &amp; $A8 &amp; "]]")+E7</f>
        <v>#REF!</v>
      </c>
      <c r="F8" s="37" t="e">
        <f ca="1">INDIRECT("budget" &amp; F$1 &amp; "Overall[[#Totals],[" &amp; $A8 &amp; "]]")+F7</f>
        <v>#REF!</v>
      </c>
      <c r="G8" s="37" t="e">
        <f ca="1">INDIRECT("budget" &amp; G$1 &amp; "Overall[[#Totals],[" &amp; $A8 &amp; "]]")+G7</f>
        <v>#REF!</v>
      </c>
      <c r="H8" s="37" t="e">
        <f ca="1">INDIRECT("budget" &amp; SUBSTITUTE(milestoneReport," ","") &amp; "Overall[[#Totals],[" &amp; $A8 &amp; "]]") + H6</f>
        <v>#VALUE!</v>
      </c>
      <c r="I8" s="37" t="e">
        <f ca="1">INDIRECT("budget" &amp; SUBSTITUTE(milestoneCurrent," ","") &amp; "Overall[[#Totals],[" &amp; $A8 &amp; "]]")+ I6</f>
        <v>#VALUE!</v>
      </c>
    </row>
    <row r="9" spans="1:9" x14ac:dyDescent="0.2">
      <c r="A9" s="37" t="s">
        <v>434</v>
      </c>
      <c r="B9" s="59">
        <f>dateMilestone4</f>
        <v>0</v>
      </c>
      <c r="C9" s="37" t="e">
        <f t="shared" ref="C9:H9" ca="1" si="3">C8</f>
        <v>#REF!</v>
      </c>
      <c r="D9" s="37" t="e">
        <f t="shared" ca="1" si="3"/>
        <v>#REF!</v>
      </c>
      <c r="E9" s="37" t="e">
        <f t="shared" ca="1" si="3"/>
        <v>#REF!</v>
      </c>
      <c r="F9" s="37" t="e">
        <f t="shared" ca="1" si="3"/>
        <v>#REF!</v>
      </c>
      <c r="G9" s="37" t="e">
        <f t="shared" ca="1" si="3"/>
        <v>#REF!</v>
      </c>
      <c r="H9" s="37" t="e">
        <f t="shared" ca="1" si="3"/>
        <v>#VALUE!</v>
      </c>
      <c r="I9" s="37" t="e">
        <f ca="1">I8</f>
        <v>#VALUE!</v>
      </c>
    </row>
    <row r="10" spans="1:9" x14ac:dyDescent="0.2">
      <c r="A10" s="37" t="s">
        <v>409</v>
      </c>
      <c r="B10" s="59">
        <f>dateMilestone4</f>
        <v>0</v>
      </c>
      <c r="C10" s="37" t="e">
        <f ca="1">INDIRECT("budget" &amp; C$1 &amp; "Overall[[#Totals],[" &amp; $A10 &amp; "]]")+C9</f>
        <v>#REF!</v>
      </c>
      <c r="D10" s="37" t="e">
        <f ca="1">INDIRECT("budget" &amp; D$1 &amp; "Overall[[#Totals],[" &amp; $A10 &amp; "]]")+D9</f>
        <v>#REF!</v>
      </c>
      <c r="E10" s="37" t="e">
        <f ca="1">INDIRECT("budget" &amp; E$1 &amp; "Overall[[#Totals],[" &amp; $A10 &amp; "]]")+E9</f>
        <v>#REF!</v>
      </c>
      <c r="F10" s="37" t="e">
        <f ca="1">INDIRECT("budget" &amp; F$1 &amp; "Overall[[#Totals],[" &amp; $A10 &amp; "]]")+F9</f>
        <v>#REF!</v>
      </c>
      <c r="G10" s="37" t="e">
        <f ca="1">INDIRECT("budget" &amp; G$1 &amp; "Overall[[#Totals],[" &amp; $A10 &amp; "]]")+G9</f>
        <v>#REF!</v>
      </c>
      <c r="H10" s="37" t="e">
        <f ca="1">INDIRECT("budget" &amp; SUBSTITUTE(milestoneReport," ","") &amp; "Overall[[#Totals],[" &amp; $A10 &amp; "]]") + H8</f>
        <v>#VALUE!</v>
      </c>
      <c r="I10" s="37" t="e">
        <f ca="1">INDIRECT("budget" &amp; SUBSTITUTE(milestoneCurrent," ","") &amp; "Overall[[#Totals],[" &amp; $A10 &amp; "]]")+ I8</f>
        <v>#VALUE!</v>
      </c>
    </row>
    <row r="11" spans="1:9" x14ac:dyDescent="0.2">
      <c r="A11" s="37" t="s">
        <v>435</v>
      </c>
      <c r="B11" s="59">
        <f>dateFinal</f>
        <v>0</v>
      </c>
      <c r="C11" s="37" t="e">
        <f t="shared" ref="C11:H11" ca="1" si="4">C10</f>
        <v>#REF!</v>
      </c>
      <c r="D11" s="37" t="e">
        <f t="shared" ca="1" si="4"/>
        <v>#REF!</v>
      </c>
      <c r="E11" s="37" t="e">
        <f t="shared" ca="1" si="4"/>
        <v>#REF!</v>
      </c>
      <c r="F11" s="37" t="e">
        <f t="shared" ca="1" si="4"/>
        <v>#REF!</v>
      </c>
      <c r="G11" s="37" t="e">
        <f t="shared" ca="1" si="4"/>
        <v>#REF!</v>
      </c>
      <c r="H11" s="37" t="e">
        <f t="shared" ca="1" si="4"/>
        <v>#VALUE!</v>
      </c>
      <c r="I11" s="37" t="e">
        <f ca="1">I10</f>
        <v>#VALUE!</v>
      </c>
    </row>
    <row r="12" spans="1:9" x14ac:dyDescent="0.2">
      <c r="B12" s="59"/>
    </row>
    <row r="13" spans="1:9" x14ac:dyDescent="0.2">
      <c r="B13" s="59"/>
    </row>
    <row r="15" spans="1:9" x14ac:dyDescent="0.2">
      <c r="B15" s="37" t="s">
        <v>445</v>
      </c>
      <c r="C15" s="37" t="s">
        <v>446</v>
      </c>
    </row>
    <row r="16" spans="1:9" x14ac:dyDescent="0.2">
      <c r="A16" s="37">
        <f>INDEX(directors[Last],1)</f>
        <v>0</v>
      </c>
      <c r="C16" s="37">
        <f ca="1">SUMIFS(ARF[Amount in Euro], ARF[Co Director],A16, ARF[Date], "&lt;=" &amp; TODAY())</f>
        <v>0</v>
      </c>
    </row>
    <row r="17" spans="1:3" x14ac:dyDescent="0.2">
      <c r="A17" s="37">
        <f>INDEX(directors[Last],2)</f>
        <v>0</v>
      </c>
      <c r="C17" s="37">
        <f ca="1">SUMIFS(ARF[Amount in Euro], ARF[Co Director],A17, ARF[Date], "&lt;=" &amp; TODAY())</f>
        <v>0</v>
      </c>
    </row>
    <row r="18" spans="1:3" x14ac:dyDescent="0.2">
      <c r="A18" s="37">
        <f>INDEX(directors[Last],3)</f>
        <v>0</v>
      </c>
      <c r="C18" s="37">
        <f ca="1">SUMIFS(ARF[Amount in Euro], ARF[Co Director],A18, ARF[Date], "&lt;=" &amp; TODAY())</f>
        <v>0</v>
      </c>
    </row>
    <row r="19" spans="1:3" x14ac:dyDescent="0.2">
      <c r="A19" s="37">
        <f>INDEX(directors[Last],4)</f>
        <v>0</v>
      </c>
      <c r="C19" s="37">
        <f ca="1">SUMIFS(ARF[Amount in Euro], ARF[Co Director],A19, ARF[Date], "&lt;=" &amp; TODAY())</f>
        <v>0</v>
      </c>
    </row>
    <row r="20" spans="1:3" x14ac:dyDescent="0.2">
      <c r="A20" s="37">
        <f>INDEX(directors[Last],5)</f>
        <v>0</v>
      </c>
      <c r="C20" s="37">
        <f ca="1">SUMIFS(ARF[Amount in Euro], ARF[Co Director],A20, ARF[Date], "&lt;=" &amp; TODAY())</f>
        <v>0</v>
      </c>
    </row>
    <row r="21" spans="1:3" x14ac:dyDescent="0.2">
      <c r="A21" s="37">
        <f>INDEX(directors[Last],6)</f>
        <v>0</v>
      </c>
      <c r="C21" s="37">
        <f ca="1">SUMIFS(ARF[Amount in Euro], ARF[Co Director],A21, ARF[Date], "&lt;=" &amp; TODAY())</f>
        <v>0</v>
      </c>
    </row>
    <row r="22" spans="1:3" x14ac:dyDescent="0.2">
      <c r="A22" s="37">
        <f>INDEX(directors[Last],7)</f>
        <v>0</v>
      </c>
      <c r="C22" s="37">
        <f ca="1">SUMIFS(ARF[Amount in Euro], ARF[Co Director],A22, ARF[Date], "&lt;=" &amp; TODAY())</f>
        <v>0</v>
      </c>
    </row>
    <row r="23" spans="1:3" x14ac:dyDescent="0.2">
      <c r="A23" s="37">
        <f>INDEX(directors[Last],8)</f>
        <v>0</v>
      </c>
      <c r="C23" s="37">
        <f ca="1">SUMIFS(ARF[Amount in Euro], ARF[Co Director],A23, ARF[Date], "&lt;=" &amp; TODAY())</f>
        <v>0</v>
      </c>
    </row>
    <row r="24" spans="1:3" x14ac:dyDescent="0.2">
      <c r="A24" s="37">
        <f>INDEX(directors[Last],9)</f>
        <v>0</v>
      </c>
      <c r="C24" s="37">
        <f ca="1">SUMIFS(ARF[Amount in Euro], ARF[Co Director],A24, ARF[Date], "&lt;=" &amp; TODAY())</f>
        <v>0</v>
      </c>
    </row>
    <row r="25" spans="1:3" x14ac:dyDescent="0.2">
      <c r="A25" s="37">
        <f>INDEX(directors[Last],10)</f>
        <v>0</v>
      </c>
      <c r="C25" s="37">
        <f ca="1">SUMIFS(ARF[Amount in Euro], ARF[Co Director],A25, ARF[Date], "&lt;=" &amp; TODAY())</f>
        <v>0</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9"/>
  <sheetViews>
    <sheetView showZeros="0" topLeftCell="F1" workbookViewId="0">
      <selection activeCell="K38" sqref="K38"/>
    </sheetView>
  </sheetViews>
  <sheetFormatPr defaultColWidth="9.140625" defaultRowHeight="12.75" x14ac:dyDescent="0.25"/>
  <cols>
    <col min="1" max="2" width="9.140625" style="47"/>
    <col min="3" max="3" width="40.42578125" style="47" bestFit="1" customWidth="1"/>
    <col min="4" max="4" width="9.140625" style="47"/>
    <col min="5" max="5" width="22.140625" style="47" bestFit="1" customWidth="1"/>
    <col min="6" max="6" width="9.140625" style="47"/>
    <col min="7" max="7" width="38.140625" style="1" bestFit="1" customWidth="1"/>
    <col min="8" max="8" width="9.140625" style="47"/>
    <col min="9" max="9" width="38.140625" style="47" bestFit="1" customWidth="1"/>
    <col min="10" max="10" width="9.140625" style="47"/>
    <col min="11" max="11" width="26" style="47" bestFit="1" customWidth="1"/>
    <col min="12" max="12" width="9.140625" style="47"/>
    <col min="13" max="13" width="17.28515625" style="47" bestFit="1" customWidth="1"/>
    <col min="14" max="16384" width="9.140625" style="47"/>
  </cols>
  <sheetData>
    <row r="1" spans="1:13" x14ac:dyDescent="0.2">
      <c r="A1" s="47" t="s">
        <v>309</v>
      </c>
      <c r="B1" s="47" t="s">
        <v>310</v>
      </c>
      <c r="C1" s="47" t="s">
        <v>311</v>
      </c>
      <c r="E1" s="47" t="s">
        <v>317</v>
      </c>
      <c r="G1" s="1" t="s">
        <v>346</v>
      </c>
      <c r="I1" s="47" t="s">
        <v>388</v>
      </c>
      <c r="K1" s="48" t="s">
        <v>389</v>
      </c>
      <c r="M1" s="41" t="s">
        <v>443</v>
      </c>
    </row>
    <row r="2" spans="1:13" x14ac:dyDescent="0.2">
      <c r="A2" s="49" t="s">
        <v>302</v>
      </c>
      <c r="B2" s="49" t="s">
        <v>7</v>
      </c>
      <c r="C2" s="49" t="s">
        <v>89</v>
      </c>
      <c r="E2" s="1" t="s">
        <v>318</v>
      </c>
      <c r="G2" s="169" t="s">
        <v>347</v>
      </c>
      <c r="I2" s="47" t="s">
        <v>5</v>
      </c>
      <c r="K2" s="65" t="s">
        <v>390</v>
      </c>
      <c r="M2" s="37" t="e">
        <f ca="1">INDEX(milestones[Milestones],(TODAY()&gt;cleanDateKickoff)+(TODAY()&gt;cleanDateMilestone1)+(TODAY()&gt;cleanDateMilestone2)+(TODAY()&gt;cleanDateMilestone3)+(TODAY()&gt;cleanDateMilestone4)+(dateReport&gt;=cleanDateFinal))</f>
        <v>#VALUE!</v>
      </c>
    </row>
    <row r="3" spans="1:13" x14ac:dyDescent="0.25">
      <c r="A3" s="49" t="s">
        <v>302</v>
      </c>
      <c r="B3" s="49" t="s">
        <v>14</v>
      </c>
      <c r="C3" s="49" t="s">
        <v>15</v>
      </c>
      <c r="E3" s="1" t="s">
        <v>322</v>
      </c>
      <c r="G3" s="1" t="s">
        <v>348</v>
      </c>
      <c r="I3" s="47" t="s">
        <v>6</v>
      </c>
      <c r="K3" s="65" t="s">
        <v>391</v>
      </c>
    </row>
    <row r="4" spans="1:13" x14ac:dyDescent="0.25">
      <c r="A4" s="49" t="s">
        <v>302</v>
      </c>
      <c r="B4" s="49" t="s">
        <v>30</v>
      </c>
      <c r="C4" s="49" t="s">
        <v>31</v>
      </c>
      <c r="E4" s="1" t="s">
        <v>319</v>
      </c>
      <c r="G4" s="1" t="s">
        <v>349</v>
      </c>
      <c r="K4" s="65" t="s">
        <v>396</v>
      </c>
    </row>
    <row r="5" spans="1:13" x14ac:dyDescent="0.25">
      <c r="A5" s="49" t="s">
        <v>302</v>
      </c>
      <c r="B5" s="49" t="s">
        <v>9</v>
      </c>
      <c r="C5" s="49" t="s">
        <v>54</v>
      </c>
      <c r="E5" s="1" t="s">
        <v>320</v>
      </c>
      <c r="G5" s="1" t="s">
        <v>350</v>
      </c>
      <c r="K5" s="65" t="s">
        <v>392</v>
      </c>
    </row>
    <row r="6" spans="1:13" x14ac:dyDescent="0.25">
      <c r="A6" s="49" t="s">
        <v>302</v>
      </c>
      <c r="B6" s="49" t="s">
        <v>73</v>
      </c>
      <c r="C6" s="49" t="s">
        <v>74</v>
      </c>
      <c r="E6" s="1" t="s">
        <v>323</v>
      </c>
      <c r="G6" s="1" t="s">
        <v>351</v>
      </c>
      <c r="I6" s="47" t="s">
        <v>417</v>
      </c>
      <c r="K6" s="65" t="s">
        <v>393</v>
      </c>
    </row>
    <row r="7" spans="1:13" x14ac:dyDescent="0.25">
      <c r="A7" s="49" t="s">
        <v>302</v>
      </c>
      <c r="B7" s="49" t="s">
        <v>77</v>
      </c>
      <c r="C7" s="49" t="s">
        <v>78</v>
      </c>
      <c r="E7" s="1" t="s">
        <v>321</v>
      </c>
      <c r="G7" s="1" t="s">
        <v>352</v>
      </c>
      <c r="I7" s="25" t="s">
        <v>318</v>
      </c>
      <c r="K7" s="65" t="s">
        <v>304</v>
      </c>
    </row>
    <row r="8" spans="1:13" x14ac:dyDescent="0.25">
      <c r="A8" s="49" t="s">
        <v>302</v>
      </c>
      <c r="B8" s="49" t="s">
        <v>92</v>
      </c>
      <c r="C8" s="49" t="s">
        <v>93</v>
      </c>
      <c r="E8" s="1" t="s">
        <v>324</v>
      </c>
      <c r="G8" s="1" t="s">
        <v>353</v>
      </c>
      <c r="I8" s="26" t="s">
        <v>322</v>
      </c>
      <c r="K8" s="65" t="s">
        <v>394</v>
      </c>
    </row>
    <row r="9" spans="1:13" x14ac:dyDescent="0.25">
      <c r="A9" s="49" t="s">
        <v>302</v>
      </c>
      <c r="B9" s="49" t="s">
        <v>110</v>
      </c>
      <c r="C9" s="49" t="s">
        <v>111</v>
      </c>
      <c r="E9" s="1" t="s">
        <v>325</v>
      </c>
      <c r="G9" s="169" t="s">
        <v>354</v>
      </c>
      <c r="I9" s="27" t="s">
        <v>319</v>
      </c>
      <c r="K9" s="65" t="s">
        <v>509</v>
      </c>
    </row>
    <row r="10" spans="1:13" x14ac:dyDescent="0.25">
      <c r="A10" s="49" t="s">
        <v>302</v>
      </c>
      <c r="B10" s="49" t="s">
        <v>114</v>
      </c>
      <c r="C10" s="49" t="s">
        <v>115</v>
      </c>
      <c r="E10" s="1" t="s">
        <v>507</v>
      </c>
      <c r="G10" s="1" t="s">
        <v>355</v>
      </c>
      <c r="I10" s="26" t="s">
        <v>320</v>
      </c>
    </row>
    <row r="11" spans="1:13" x14ac:dyDescent="0.25">
      <c r="A11" s="49" t="s">
        <v>302</v>
      </c>
      <c r="B11" s="49" t="s">
        <v>126</v>
      </c>
      <c r="C11" s="49" t="s">
        <v>127</v>
      </c>
      <c r="E11" s="176" t="s">
        <v>326</v>
      </c>
      <c r="G11" s="160" t="s">
        <v>498</v>
      </c>
      <c r="I11" s="27" t="s">
        <v>323</v>
      </c>
    </row>
    <row r="12" spans="1:13" x14ac:dyDescent="0.25">
      <c r="A12" s="49" t="s">
        <v>302</v>
      </c>
      <c r="B12" s="49" t="s">
        <v>162</v>
      </c>
      <c r="C12" s="49" t="s">
        <v>163</v>
      </c>
      <c r="E12" s="1" t="s">
        <v>327</v>
      </c>
      <c r="G12" s="160" t="s">
        <v>356</v>
      </c>
      <c r="I12" s="26" t="s">
        <v>508</v>
      </c>
    </row>
    <row r="13" spans="1:13" x14ac:dyDescent="0.25">
      <c r="A13" s="49" t="s">
        <v>302</v>
      </c>
      <c r="B13" s="49" t="s">
        <v>172</v>
      </c>
      <c r="C13" s="49" t="s">
        <v>502</v>
      </c>
      <c r="E13" s="1" t="s">
        <v>328</v>
      </c>
      <c r="G13" s="160" t="s">
        <v>357</v>
      </c>
      <c r="I13" s="27" t="s">
        <v>324</v>
      </c>
    </row>
    <row r="14" spans="1:13" x14ac:dyDescent="0.25">
      <c r="A14" s="49" t="s">
        <v>302</v>
      </c>
      <c r="B14" s="49" t="s">
        <v>199</v>
      </c>
      <c r="C14" s="49" t="s">
        <v>200</v>
      </c>
      <c r="E14" s="1" t="s">
        <v>329</v>
      </c>
      <c r="G14" s="160" t="s">
        <v>358</v>
      </c>
      <c r="I14" s="26" t="s">
        <v>325</v>
      </c>
      <c r="K14" s="47" t="s">
        <v>442</v>
      </c>
    </row>
    <row r="15" spans="1:13" x14ac:dyDescent="0.25">
      <c r="A15" s="49" t="s">
        <v>302</v>
      </c>
      <c r="B15" s="49" t="s">
        <v>217</v>
      </c>
      <c r="C15" s="49" t="s">
        <v>218</v>
      </c>
      <c r="E15" s="1" t="s">
        <v>330</v>
      </c>
      <c r="G15" s="160" t="s">
        <v>359</v>
      </c>
      <c r="I15" s="27" t="s">
        <v>507</v>
      </c>
      <c r="K15" s="47" t="s">
        <v>413</v>
      </c>
    </row>
    <row r="16" spans="1:13" x14ac:dyDescent="0.25">
      <c r="A16" s="49" t="s">
        <v>302</v>
      </c>
      <c r="B16" s="49" t="s">
        <v>223</v>
      </c>
      <c r="C16" s="49" t="s">
        <v>224</v>
      </c>
      <c r="E16" s="1" t="s">
        <v>331</v>
      </c>
      <c r="G16" s="160" t="s">
        <v>360</v>
      </c>
      <c r="I16" s="177" t="s">
        <v>326</v>
      </c>
      <c r="K16" s="47" t="s">
        <v>407</v>
      </c>
    </row>
    <row r="17" spans="1:11" x14ac:dyDescent="0.25">
      <c r="A17" s="49" t="s">
        <v>302</v>
      </c>
      <c r="B17" s="49" t="s">
        <v>266</v>
      </c>
      <c r="C17" s="49" t="s">
        <v>267</v>
      </c>
      <c r="E17" s="1" t="s">
        <v>332</v>
      </c>
      <c r="G17" s="160" t="s">
        <v>361</v>
      </c>
      <c r="I17" s="26" t="s">
        <v>327</v>
      </c>
      <c r="K17" s="47" t="s">
        <v>408</v>
      </c>
    </row>
    <row r="18" spans="1:11" x14ac:dyDescent="0.25">
      <c r="A18" s="49" t="s">
        <v>302</v>
      </c>
      <c r="B18" s="49" t="s">
        <v>8</v>
      </c>
      <c r="C18" s="49" t="s">
        <v>278</v>
      </c>
      <c r="E18" s="1" t="s">
        <v>333</v>
      </c>
      <c r="G18" s="160" t="s">
        <v>362</v>
      </c>
      <c r="I18" s="27" t="s">
        <v>328</v>
      </c>
      <c r="K18" s="47" t="s">
        <v>409</v>
      </c>
    </row>
    <row r="19" spans="1:11" x14ac:dyDescent="0.25">
      <c r="A19" s="49" t="s">
        <v>303</v>
      </c>
      <c r="B19" s="49" t="s">
        <v>10</v>
      </c>
      <c r="C19" s="49" t="s">
        <v>11</v>
      </c>
      <c r="E19" s="1" t="s">
        <v>334</v>
      </c>
      <c r="G19" s="160" t="s">
        <v>363</v>
      </c>
      <c r="I19" s="26" t="s">
        <v>329</v>
      </c>
      <c r="K19" s="47" t="s">
        <v>485</v>
      </c>
    </row>
    <row r="20" spans="1:11" x14ac:dyDescent="0.25">
      <c r="A20" s="49" t="s">
        <v>303</v>
      </c>
      <c r="B20" s="49" t="s">
        <v>12</v>
      </c>
      <c r="C20" s="49" t="s">
        <v>13</v>
      </c>
      <c r="E20" s="1" t="s">
        <v>335</v>
      </c>
      <c r="G20" s="160" t="s">
        <v>364</v>
      </c>
      <c r="I20" s="27" t="s">
        <v>330</v>
      </c>
      <c r="K20" s="48" t="s">
        <v>410</v>
      </c>
    </row>
    <row r="21" spans="1:11" x14ac:dyDescent="0.25">
      <c r="A21" s="49" t="s">
        <v>303</v>
      </c>
      <c r="B21" s="64" t="s">
        <v>16</v>
      </c>
      <c r="C21" s="49" t="s">
        <v>17</v>
      </c>
      <c r="E21" s="1" t="s">
        <v>501</v>
      </c>
      <c r="G21" s="160" t="s">
        <v>365</v>
      </c>
      <c r="I21" s="26" t="s">
        <v>331</v>
      </c>
      <c r="K21" s="48"/>
    </row>
    <row r="22" spans="1:11" x14ac:dyDescent="0.25">
      <c r="A22" s="49" t="s">
        <v>303</v>
      </c>
      <c r="B22" s="64" t="s">
        <v>22</v>
      </c>
      <c r="C22" s="49" t="s">
        <v>23</v>
      </c>
      <c r="E22" s="1" t="s">
        <v>336</v>
      </c>
      <c r="G22" s="160" t="s">
        <v>366</v>
      </c>
      <c r="I22" s="27" t="s">
        <v>332</v>
      </c>
    </row>
    <row r="23" spans="1:11" x14ac:dyDescent="0.25">
      <c r="A23" s="49" t="s">
        <v>303</v>
      </c>
      <c r="B23" s="49" t="s">
        <v>24</v>
      </c>
      <c r="C23" s="49" t="s">
        <v>25</v>
      </c>
      <c r="E23" s="1" t="s">
        <v>337</v>
      </c>
      <c r="G23" s="160" t="s">
        <v>367</v>
      </c>
      <c r="I23" s="26" t="s">
        <v>333</v>
      </c>
      <c r="K23" s="47" t="s">
        <v>474</v>
      </c>
    </row>
    <row r="24" spans="1:11" x14ac:dyDescent="0.25">
      <c r="A24" s="49" t="s">
        <v>303</v>
      </c>
      <c r="B24" s="49" t="s">
        <v>26</v>
      </c>
      <c r="C24" s="49" t="s">
        <v>27</v>
      </c>
      <c r="E24" s="1" t="s">
        <v>338</v>
      </c>
      <c r="G24" s="160" t="s">
        <v>368</v>
      </c>
      <c r="I24" s="27" t="s">
        <v>334</v>
      </c>
      <c r="K24" s="47" t="s">
        <v>479</v>
      </c>
    </row>
    <row r="25" spans="1:11" x14ac:dyDescent="0.25">
      <c r="A25" s="49" t="s">
        <v>303</v>
      </c>
      <c r="B25" s="49" t="s">
        <v>32</v>
      </c>
      <c r="C25" s="49" t="s">
        <v>33</v>
      </c>
      <c r="E25" s="1" t="s">
        <v>339</v>
      </c>
      <c r="G25" s="160" t="s">
        <v>369</v>
      </c>
      <c r="I25" s="163" t="s">
        <v>370</v>
      </c>
      <c r="K25" s="47" t="s">
        <v>480</v>
      </c>
    </row>
    <row r="26" spans="1:11" x14ac:dyDescent="0.25">
      <c r="A26" s="49" t="s">
        <v>303</v>
      </c>
      <c r="B26" s="49" t="s">
        <v>50</v>
      </c>
      <c r="C26" s="49" t="s">
        <v>51</v>
      </c>
      <c r="E26" s="1" t="s">
        <v>340</v>
      </c>
      <c r="G26" s="160" t="s">
        <v>371</v>
      </c>
      <c r="I26" s="161" t="s">
        <v>335</v>
      </c>
      <c r="K26" s="47" t="s">
        <v>481</v>
      </c>
    </row>
    <row r="27" spans="1:11" x14ac:dyDescent="0.25">
      <c r="A27" s="49" t="s">
        <v>303</v>
      </c>
      <c r="B27" s="49" t="s">
        <v>57</v>
      </c>
      <c r="C27" s="49" t="s">
        <v>58</v>
      </c>
      <c r="E27" s="1" t="s">
        <v>341</v>
      </c>
      <c r="G27" s="160" t="s">
        <v>372</v>
      </c>
      <c r="I27" s="26" t="s">
        <v>501</v>
      </c>
    </row>
    <row r="28" spans="1:11" x14ac:dyDescent="0.25">
      <c r="A28" s="49" t="s">
        <v>303</v>
      </c>
      <c r="B28" s="49" t="s">
        <v>81</v>
      </c>
      <c r="C28" s="49" t="s">
        <v>82</v>
      </c>
      <c r="E28" s="1" t="s">
        <v>342</v>
      </c>
      <c r="G28" s="160" t="s">
        <v>373</v>
      </c>
      <c r="I28" s="164" t="s">
        <v>336</v>
      </c>
    </row>
    <row r="29" spans="1:11" x14ac:dyDescent="0.25">
      <c r="A29" s="49" t="s">
        <v>303</v>
      </c>
      <c r="B29" s="49" t="s">
        <v>83</v>
      </c>
      <c r="C29" s="49" t="s">
        <v>84</v>
      </c>
      <c r="E29" s="1" t="s">
        <v>503</v>
      </c>
      <c r="G29" s="160" t="s">
        <v>374</v>
      </c>
      <c r="I29" s="161" t="s">
        <v>337</v>
      </c>
    </row>
    <row r="30" spans="1:11" x14ac:dyDescent="0.25">
      <c r="A30" s="49" t="s">
        <v>303</v>
      </c>
      <c r="B30" s="49" t="s">
        <v>94</v>
      </c>
      <c r="C30" s="49" t="s">
        <v>95</v>
      </c>
      <c r="E30" s="1" t="s">
        <v>345</v>
      </c>
      <c r="G30" s="160" t="s">
        <v>375</v>
      </c>
      <c r="I30" s="164" t="s">
        <v>338</v>
      </c>
    </row>
    <row r="31" spans="1:11" x14ac:dyDescent="0.25">
      <c r="A31" s="49" t="s">
        <v>303</v>
      </c>
      <c r="B31" s="49" t="s">
        <v>118</v>
      </c>
      <c r="C31" s="49" t="s">
        <v>119</v>
      </c>
      <c r="E31" s="1" t="s">
        <v>316</v>
      </c>
      <c r="G31" s="169" t="s">
        <v>376</v>
      </c>
      <c r="I31" s="161" t="s">
        <v>339</v>
      </c>
    </row>
    <row r="32" spans="1:11" x14ac:dyDescent="0.25">
      <c r="A32" s="49" t="s">
        <v>303</v>
      </c>
      <c r="B32" s="49" t="s">
        <v>122</v>
      </c>
      <c r="C32" s="49" t="s">
        <v>123</v>
      </c>
      <c r="E32" s="2" t="s">
        <v>343</v>
      </c>
      <c r="G32" s="160" t="s">
        <v>377</v>
      </c>
      <c r="I32" s="27" t="s">
        <v>510</v>
      </c>
    </row>
    <row r="33" spans="1:9" x14ac:dyDescent="0.25">
      <c r="A33" s="49" t="s">
        <v>303</v>
      </c>
      <c r="B33" s="49" t="s">
        <v>130</v>
      </c>
      <c r="C33" s="49" t="s">
        <v>131</v>
      </c>
      <c r="E33" s="2" t="s">
        <v>344</v>
      </c>
      <c r="G33" s="1" t="s">
        <v>512</v>
      </c>
      <c r="I33" s="161" t="s">
        <v>341</v>
      </c>
    </row>
    <row r="34" spans="1:9" x14ac:dyDescent="0.25">
      <c r="A34" s="49" t="s">
        <v>303</v>
      </c>
      <c r="B34" s="49" t="s">
        <v>132</v>
      </c>
      <c r="C34" s="49" t="s">
        <v>133</v>
      </c>
      <c r="E34" s="2" t="s">
        <v>385</v>
      </c>
      <c r="G34" s="160" t="s">
        <v>378</v>
      </c>
      <c r="I34" s="164" t="s">
        <v>342</v>
      </c>
    </row>
    <row r="35" spans="1:9" x14ac:dyDescent="0.25">
      <c r="A35" s="49" t="s">
        <v>303</v>
      </c>
      <c r="B35" s="49" t="s">
        <v>136</v>
      </c>
      <c r="C35" s="49" t="s">
        <v>137</v>
      </c>
      <c r="G35" s="160" t="s">
        <v>379</v>
      </c>
      <c r="I35" s="181" t="s">
        <v>512</v>
      </c>
    </row>
    <row r="36" spans="1:9" x14ac:dyDescent="0.25">
      <c r="A36" s="49" t="s">
        <v>303</v>
      </c>
      <c r="B36" s="49" t="s">
        <v>144</v>
      </c>
      <c r="C36" s="49" t="s">
        <v>145</v>
      </c>
      <c r="G36" s="160" t="s">
        <v>380</v>
      </c>
      <c r="I36" s="26" t="s">
        <v>503</v>
      </c>
    </row>
    <row r="37" spans="1:9" x14ac:dyDescent="0.25">
      <c r="A37" s="49" t="s">
        <v>303</v>
      </c>
      <c r="B37" s="49" t="s">
        <v>146</v>
      </c>
      <c r="C37" s="49" t="s">
        <v>147</v>
      </c>
      <c r="G37" s="160" t="s">
        <v>381</v>
      </c>
      <c r="I37" s="164" t="s">
        <v>345</v>
      </c>
    </row>
    <row r="38" spans="1:9" x14ac:dyDescent="0.25">
      <c r="A38" s="49" t="s">
        <v>303</v>
      </c>
      <c r="B38" s="49" t="s">
        <v>150</v>
      </c>
      <c r="C38" s="49" t="s">
        <v>151</v>
      </c>
      <c r="G38" s="160" t="s">
        <v>382</v>
      </c>
      <c r="I38" s="161" t="s">
        <v>316</v>
      </c>
    </row>
    <row r="39" spans="1:9" x14ac:dyDescent="0.25">
      <c r="A39" s="49" t="s">
        <v>303</v>
      </c>
      <c r="B39" s="49" t="s">
        <v>166</v>
      </c>
      <c r="C39" s="49" t="s">
        <v>167</v>
      </c>
      <c r="G39" s="160" t="s">
        <v>383</v>
      </c>
      <c r="I39" s="164" t="s">
        <v>343</v>
      </c>
    </row>
    <row r="40" spans="1:9" x14ac:dyDescent="0.25">
      <c r="A40" s="49" t="s">
        <v>303</v>
      </c>
      <c r="B40" s="49" t="s">
        <v>168</v>
      </c>
      <c r="C40" s="49" t="s">
        <v>169</v>
      </c>
      <c r="G40" s="1" t="s">
        <v>384</v>
      </c>
      <c r="I40" s="161" t="s">
        <v>344</v>
      </c>
    </row>
    <row r="41" spans="1:9" x14ac:dyDescent="0.25">
      <c r="A41" s="49" t="s">
        <v>303</v>
      </c>
      <c r="B41" s="49" t="s">
        <v>175</v>
      </c>
      <c r="C41" s="49" t="s">
        <v>176</v>
      </c>
      <c r="I41" s="165" t="s">
        <v>385</v>
      </c>
    </row>
    <row r="42" spans="1:9" x14ac:dyDescent="0.25">
      <c r="A42" s="49" t="s">
        <v>303</v>
      </c>
      <c r="B42" s="49" t="s">
        <v>179</v>
      </c>
      <c r="C42" s="49" t="s">
        <v>180</v>
      </c>
      <c r="I42" s="172" t="s">
        <v>506</v>
      </c>
    </row>
    <row r="43" spans="1:9" x14ac:dyDescent="0.25">
      <c r="A43" s="49" t="s">
        <v>303</v>
      </c>
      <c r="B43" s="49" t="s">
        <v>203</v>
      </c>
      <c r="C43" s="49" t="s">
        <v>204</v>
      </c>
      <c r="I43" s="161" t="s">
        <v>348</v>
      </c>
    </row>
    <row r="44" spans="1:9" x14ac:dyDescent="0.25">
      <c r="A44" s="49" t="s">
        <v>303</v>
      </c>
      <c r="B44" s="49" t="s">
        <v>215</v>
      </c>
      <c r="C44" s="49" t="s">
        <v>216</v>
      </c>
      <c r="I44" s="164" t="s">
        <v>349</v>
      </c>
    </row>
    <row r="45" spans="1:9" x14ac:dyDescent="0.25">
      <c r="A45" s="49" t="s">
        <v>303</v>
      </c>
      <c r="B45" s="49" t="s">
        <v>221</v>
      </c>
      <c r="C45" s="49" t="s">
        <v>222</v>
      </c>
      <c r="I45" s="161" t="s">
        <v>350</v>
      </c>
    </row>
    <row r="46" spans="1:9" x14ac:dyDescent="0.25">
      <c r="A46" s="49" t="s">
        <v>303</v>
      </c>
      <c r="B46" s="49" t="s">
        <v>225</v>
      </c>
      <c r="C46" s="49" t="s">
        <v>226</v>
      </c>
      <c r="I46" s="164" t="s">
        <v>351</v>
      </c>
    </row>
    <row r="47" spans="1:9" x14ac:dyDescent="0.25">
      <c r="A47" s="49" t="s">
        <v>303</v>
      </c>
      <c r="B47" s="49" t="s">
        <v>227</v>
      </c>
      <c r="C47" s="49" t="s">
        <v>228</v>
      </c>
      <c r="I47" s="161" t="s">
        <v>352</v>
      </c>
    </row>
    <row r="48" spans="1:9" x14ac:dyDescent="0.25">
      <c r="A48" s="49" t="s">
        <v>303</v>
      </c>
      <c r="B48" s="49" t="s">
        <v>239</v>
      </c>
      <c r="C48" s="49" t="s">
        <v>301</v>
      </c>
      <c r="I48" s="164" t="s">
        <v>353</v>
      </c>
    </row>
    <row r="49" spans="1:9" x14ac:dyDescent="0.25">
      <c r="A49" s="49" t="s">
        <v>303</v>
      </c>
      <c r="B49" s="49" t="s">
        <v>258</v>
      </c>
      <c r="C49" s="49" t="s">
        <v>259</v>
      </c>
      <c r="I49" s="173" t="s">
        <v>505</v>
      </c>
    </row>
    <row r="50" spans="1:9" x14ac:dyDescent="0.25">
      <c r="A50" s="49" t="s">
        <v>303</v>
      </c>
      <c r="B50" s="49" t="s">
        <v>260</v>
      </c>
      <c r="C50" s="49" t="s">
        <v>261</v>
      </c>
      <c r="I50" s="164" t="s">
        <v>355</v>
      </c>
    </row>
    <row r="51" spans="1:9" x14ac:dyDescent="0.25">
      <c r="A51" s="49" t="s">
        <v>303</v>
      </c>
      <c r="B51" s="49" t="s">
        <v>262</v>
      </c>
      <c r="C51" s="49" t="s">
        <v>263</v>
      </c>
      <c r="I51" s="163" t="s">
        <v>498</v>
      </c>
    </row>
    <row r="52" spans="1:9" x14ac:dyDescent="0.25">
      <c r="A52" s="49" t="s">
        <v>303</v>
      </c>
      <c r="B52" s="49" t="s">
        <v>274</v>
      </c>
      <c r="C52" s="49" t="s">
        <v>275</v>
      </c>
      <c r="I52" s="161" t="s">
        <v>356</v>
      </c>
    </row>
    <row r="53" spans="1:9" x14ac:dyDescent="0.25">
      <c r="A53" s="49" t="s">
        <v>303</v>
      </c>
      <c r="B53" s="49" t="s">
        <v>281</v>
      </c>
      <c r="C53" s="49" t="s">
        <v>282</v>
      </c>
      <c r="I53" s="161" t="s">
        <v>357</v>
      </c>
    </row>
    <row r="54" spans="1:9" x14ac:dyDescent="0.25">
      <c r="A54" s="49" t="s">
        <v>304</v>
      </c>
      <c r="B54" s="49" t="s">
        <v>18</v>
      </c>
      <c r="C54" s="49" t="s">
        <v>19</v>
      </c>
      <c r="I54" s="164" t="s">
        <v>358</v>
      </c>
    </row>
    <row r="55" spans="1:9" x14ac:dyDescent="0.25">
      <c r="A55" s="49" t="s">
        <v>304</v>
      </c>
      <c r="B55" s="49" t="s">
        <v>20</v>
      </c>
      <c r="C55" s="49" t="s">
        <v>21</v>
      </c>
      <c r="I55" s="161" t="s">
        <v>359</v>
      </c>
    </row>
    <row r="56" spans="1:9" x14ac:dyDescent="0.25">
      <c r="A56" s="49" t="s">
        <v>304</v>
      </c>
      <c r="B56" s="49" t="s">
        <v>28</v>
      </c>
      <c r="C56" s="49" t="s">
        <v>29</v>
      </c>
      <c r="I56" s="164" t="s">
        <v>360</v>
      </c>
    </row>
    <row r="57" spans="1:9" x14ac:dyDescent="0.25">
      <c r="A57" s="49" t="s">
        <v>304</v>
      </c>
      <c r="B57" s="49" t="s">
        <v>34</v>
      </c>
      <c r="C57" s="49" t="s">
        <v>35</v>
      </c>
      <c r="I57" s="161" t="s">
        <v>361</v>
      </c>
    </row>
    <row r="58" spans="1:9" x14ac:dyDescent="0.25">
      <c r="A58" s="49" t="s">
        <v>304</v>
      </c>
      <c r="B58" s="49" t="s">
        <v>36</v>
      </c>
      <c r="C58" s="49" t="s">
        <v>37</v>
      </c>
      <c r="I58" s="164" t="s">
        <v>362</v>
      </c>
    </row>
    <row r="59" spans="1:9" x14ac:dyDescent="0.25">
      <c r="A59" s="49" t="s">
        <v>304</v>
      </c>
      <c r="B59" s="49" t="s">
        <v>38</v>
      </c>
      <c r="C59" s="49" t="s">
        <v>39</v>
      </c>
      <c r="I59" s="161" t="s">
        <v>363</v>
      </c>
    </row>
    <row r="60" spans="1:9" x14ac:dyDescent="0.25">
      <c r="A60" s="49" t="s">
        <v>304</v>
      </c>
      <c r="B60" s="49" t="s">
        <v>40</v>
      </c>
      <c r="C60" s="49" t="s">
        <v>41</v>
      </c>
      <c r="I60" s="164" t="s">
        <v>364</v>
      </c>
    </row>
    <row r="61" spans="1:9" x14ac:dyDescent="0.25">
      <c r="A61" s="49" t="s">
        <v>304</v>
      </c>
      <c r="B61" s="49" t="s">
        <v>42</v>
      </c>
      <c r="C61" s="49" t="s">
        <v>43</v>
      </c>
      <c r="I61" s="161" t="s">
        <v>365</v>
      </c>
    </row>
    <row r="62" spans="1:9" x14ac:dyDescent="0.25">
      <c r="A62" s="49" t="s">
        <v>304</v>
      </c>
      <c r="B62" s="49" t="s">
        <v>44</v>
      </c>
      <c r="C62" s="49" t="s">
        <v>45</v>
      </c>
      <c r="I62" s="164" t="s">
        <v>366</v>
      </c>
    </row>
    <row r="63" spans="1:9" x14ac:dyDescent="0.25">
      <c r="A63" s="49" t="s">
        <v>304</v>
      </c>
      <c r="B63" s="49" t="s">
        <v>46</v>
      </c>
      <c r="C63" s="49" t="s">
        <v>47</v>
      </c>
      <c r="I63" s="161" t="s">
        <v>367</v>
      </c>
    </row>
    <row r="64" spans="1:9" x14ac:dyDescent="0.25">
      <c r="A64" s="49" t="s">
        <v>304</v>
      </c>
      <c r="B64" s="49" t="s">
        <v>48</v>
      </c>
      <c r="C64" s="49" t="s">
        <v>49</v>
      </c>
      <c r="I64" s="164" t="s">
        <v>368</v>
      </c>
    </row>
    <row r="65" spans="1:9" x14ac:dyDescent="0.25">
      <c r="A65" s="49" t="s">
        <v>304</v>
      </c>
      <c r="B65" s="49" t="s">
        <v>52</v>
      </c>
      <c r="C65" s="49" t="s">
        <v>53</v>
      </c>
      <c r="I65" s="161" t="s">
        <v>369</v>
      </c>
    </row>
    <row r="66" spans="1:9" x14ac:dyDescent="0.25">
      <c r="A66" s="49" t="s">
        <v>304</v>
      </c>
      <c r="B66" s="49" t="s">
        <v>55</v>
      </c>
      <c r="C66" s="49" t="s">
        <v>56</v>
      </c>
      <c r="I66" s="164" t="s">
        <v>370</v>
      </c>
    </row>
    <row r="67" spans="1:9" x14ac:dyDescent="0.25">
      <c r="A67" s="49" t="s">
        <v>304</v>
      </c>
      <c r="B67" s="49" t="s">
        <v>59</v>
      </c>
      <c r="C67" s="49" t="s">
        <v>60</v>
      </c>
      <c r="I67" s="161" t="s">
        <v>371</v>
      </c>
    </row>
    <row r="68" spans="1:9" x14ac:dyDescent="0.25">
      <c r="A68" s="49" t="s">
        <v>304</v>
      </c>
      <c r="B68" s="49" t="s">
        <v>61</v>
      </c>
      <c r="C68" s="49" t="s">
        <v>62</v>
      </c>
      <c r="I68" s="164" t="s">
        <v>372</v>
      </c>
    </row>
    <row r="69" spans="1:9" x14ac:dyDescent="0.25">
      <c r="A69" s="49" t="s">
        <v>304</v>
      </c>
      <c r="B69" s="49" t="s">
        <v>63</v>
      </c>
      <c r="C69" s="49" t="s">
        <v>64</v>
      </c>
      <c r="I69" s="161" t="s">
        <v>373</v>
      </c>
    </row>
    <row r="70" spans="1:9" x14ac:dyDescent="0.25">
      <c r="A70" s="49" t="s">
        <v>304</v>
      </c>
      <c r="B70" s="49" t="s">
        <v>65</v>
      </c>
      <c r="C70" s="49" t="s">
        <v>66</v>
      </c>
      <c r="I70" s="164" t="s">
        <v>374</v>
      </c>
    </row>
    <row r="71" spans="1:9" x14ac:dyDescent="0.25">
      <c r="A71" s="49" t="s">
        <v>304</v>
      </c>
      <c r="B71" s="49" t="s">
        <v>67</v>
      </c>
      <c r="C71" s="49" t="s">
        <v>68</v>
      </c>
      <c r="I71" s="161" t="s">
        <v>375</v>
      </c>
    </row>
    <row r="72" spans="1:9" x14ac:dyDescent="0.25">
      <c r="A72" s="49" t="s">
        <v>304</v>
      </c>
      <c r="B72" s="49" t="s">
        <v>69</v>
      </c>
      <c r="C72" s="49" t="s">
        <v>70</v>
      </c>
      <c r="I72" s="171" t="s">
        <v>504</v>
      </c>
    </row>
    <row r="73" spans="1:9" x14ac:dyDescent="0.25">
      <c r="A73" s="49" t="s">
        <v>304</v>
      </c>
      <c r="B73" s="49" t="s">
        <v>71</v>
      </c>
      <c r="C73" s="49" t="s">
        <v>72</v>
      </c>
      <c r="I73" s="161" t="s">
        <v>377</v>
      </c>
    </row>
    <row r="74" spans="1:9" x14ac:dyDescent="0.25">
      <c r="A74" s="49" t="s">
        <v>304</v>
      </c>
      <c r="B74" s="49" t="s">
        <v>75</v>
      </c>
      <c r="C74" s="49" t="s">
        <v>76</v>
      </c>
      <c r="I74" s="161" t="s">
        <v>378</v>
      </c>
    </row>
    <row r="75" spans="1:9" x14ac:dyDescent="0.25">
      <c r="A75" s="49" t="s">
        <v>304</v>
      </c>
      <c r="B75" s="49" t="s">
        <v>79</v>
      </c>
      <c r="C75" s="49" t="s">
        <v>80</v>
      </c>
      <c r="I75" s="164" t="s">
        <v>379</v>
      </c>
    </row>
    <row r="76" spans="1:9" x14ac:dyDescent="0.25">
      <c r="A76" s="49" t="s">
        <v>304</v>
      </c>
      <c r="B76" s="49" t="s">
        <v>85</v>
      </c>
      <c r="C76" s="49" t="s">
        <v>86</v>
      </c>
      <c r="I76" s="164" t="s">
        <v>380</v>
      </c>
    </row>
    <row r="77" spans="1:9" x14ac:dyDescent="0.25">
      <c r="A77" s="49" t="s">
        <v>304</v>
      </c>
      <c r="B77" s="49" t="s">
        <v>87</v>
      </c>
      <c r="C77" s="49" t="s">
        <v>88</v>
      </c>
      <c r="I77" s="161" t="s">
        <v>381</v>
      </c>
    </row>
    <row r="78" spans="1:9" x14ac:dyDescent="0.25">
      <c r="A78" s="49" t="s">
        <v>304</v>
      </c>
      <c r="B78" s="49" t="s">
        <v>90</v>
      </c>
      <c r="C78" s="49" t="s">
        <v>91</v>
      </c>
      <c r="I78" s="27" t="s">
        <v>382</v>
      </c>
    </row>
    <row r="79" spans="1:9" x14ac:dyDescent="0.25">
      <c r="A79" s="49" t="s">
        <v>304</v>
      </c>
      <c r="B79" s="49" t="s">
        <v>96</v>
      </c>
      <c r="C79" s="49" t="s">
        <v>97</v>
      </c>
      <c r="I79" s="161" t="s">
        <v>383</v>
      </c>
    </row>
    <row r="80" spans="1:9" x14ac:dyDescent="0.25">
      <c r="A80" s="49" t="s">
        <v>304</v>
      </c>
      <c r="B80" s="49" t="s">
        <v>98</v>
      </c>
      <c r="C80" s="49" t="s">
        <v>99</v>
      </c>
      <c r="I80" s="162" t="s">
        <v>384</v>
      </c>
    </row>
    <row r="81" spans="1:3" x14ac:dyDescent="0.25">
      <c r="A81" s="49" t="s">
        <v>304</v>
      </c>
      <c r="B81" s="49" t="s">
        <v>100</v>
      </c>
      <c r="C81" s="49" t="s">
        <v>101</v>
      </c>
    </row>
    <row r="82" spans="1:3" x14ac:dyDescent="0.25">
      <c r="A82" s="49" t="s">
        <v>304</v>
      </c>
      <c r="B82" s="49" t="s">
        <v>102</v>
      </c>
      <c r="C82" s="49" t="s">
        <v>103</v>
      </c>
    </row>
    <row r="83" spans="1:3" x14ac:dyDescent="0.25">
      <c r="A83" s="49" t="s">
        <v>304</v>
      </c>
      <c r="B83" s="49" t="s">
        <v>104</v>
      </c>
      <c r="C83" s="49" t="s">
        <v>105</v>
      </c>
    </row>
    <row r="84" spans="1:3" x14ac:dyDescent="0.25">
      <c r="A84" s="49" t="s">
        <v>304</v>
      </c>
      <c r="B84" s="49" t="s">
        <v>106</v>
      </c>
      <c r="C84" s="49" t="s">
        <v>107</v>
      </c>
    </row>
    <row r="85" spans="1:3" x14ac:dyDescent="0.25">
      <c r="A85" s="49" t="s">
        <v>304</v>
      </c>
      <c r="B85" s="49" t="s">
        <v>108</v>
      </c>
      <c r="C85" s="49" t="s">
        <v>109</v>
      </c>
    </row>
    <row r="86" spans="1:3" x14ac:dyDescent="0.25">
      <c r="A86" s="49" t="s">
        <v>304</v>
      </c>
      <c r="B86" s="49" t="s">
        <v>112</v>
      </c>
      <c r="C86" s="49" t="s">
        <v>113</v>
      </c>
    </row>
    <row r="87" spans="1:3" x14ac:dyDescent="0.25">
      <c r="A87" s="49" t="s">
        <v>304</v>
      </c>
      <c r="B87" s="49" t="s">
        <v>116</v>
      </c>
      <c r="C87" s="49" t="s">
        <v>117</v>
      </c>
    </row>
    <row r="88" spans="1:3" x14ac:dyDescent="0.25">
      <c r="A88" s="49" t="s">
        <v>304</v>
      </c>
      <c r="B88" s="49" t="s">
        <v>120</v>
      </c>
      <c r="C88" s="49" t="s">
        <v>121</v>
      </c>
    </row>
    <row r="89" spans="1:3" x14ac:dyDescent="0.25">
      <c r="A89" s="49" t="s">
        <v>304</v>
      </c>
      <c r="B89" s="49" t="s">
        <v>124</v>
      </c>
      <c r="C89" s="49" t="s">
        <v>125</v>
      </c>
    </row>
    <row r="90" spans="1:3" x14ac:dyDescent="0.25">
      <c r="A90" s="49" t="s">
        <v>304</v>
      </c>
      <c r="B90" s="49" t="s">
        <v>128</v>
      </c>
      <c r="C90" s="49" t="s">
        <v>129</v>
      </c>
    </row>
    <row r="91" spans="1:3" x14ac:dyDescent="0.25">
      <c r="A91" s="49" t="s">
        <v>304</v>
      </c>
      <c r="B91" s="49" t="s">
        <v>134</v>
      </c>
      <c r="C91" s="49" t="s">
        <v>135</v>
      </c>
    </row>
    <row r="92" spans="1:3" x14ac:dyDescent="0.25">
      <c r="A92" s="49" t="s">
        <v>304</v>
      </c>
      <c r="B92" s="49" t="s">
        <v>138</v>
      </c>
      <c r="C92" s="49" t="s">
        <v>139</v>
      </c>
    </row>
    <row r="93" spans="1:3" x14ac:dyDescent="0.25">
      <c r="A93" s="49" t="s">
        <v>304</v>
      </c>
      <c r="B93" s="49" t="s">
        <v>140</v>
      </c>
      <c r="C93" s="49" t="s">
        <v>141</v>
      </c>
    </row>
    <row r="94" spans="1:3" x14ac:dyDescent="0.25">
      <c r="A94" s="49" t="s">
        <v>304</v>
      </c>
      <c r="B94" s="49" t="s">
        <v>142</v>
      </c>
      <c r="C94" s="49" t="s">
        <v>143</v>
      </c>
    </row>
    <row r="95" spans="1:3" x14ac:dyDescent="0.25">
      <c r="A95" s="49" t="s">
        <v>304</v>
      </c>
      <c r="B95" s="49" t="s">
        <v>148</v>
      </c>
      <c r="C95" s="49" t="s">
        <v>149</v>
      </c>
    </row>
    <row r="96" spans="1:3" x14ac:dyDescent="0.25">
      <c r="A96" s="49" t="s">
        <v>304</v>
      </c>
      <c r="B96" s="49" t="s">
        <v>152</v>
      </c>
      <c r="C96" s="49" t="s">
        <v>153</v>
      </c>
    </row>
    <row r="97" spans="1:3" x14ac:dyDescent="0.25">
      <c r="A97" s="49" t="s">
        <v>304</v>
      </c>
      <c r="B97" s="49" t="s">
        <v>154</v>
      </c>
      <c r="C97" s="49" t="s">
        <v>155</v>
      </c>
    </row>
    <row r="98" spans="1:3" x14ac:dyDescent="0.25">
      <c r="A98" s="49" t="s">
        <v>304</v>
      </c>
      <c r="B98" s="49" t="s">
        <v>156</v>
      </c>
      <c r="C98" s="49" t="s">
        <v>157</v>
      </c>
    </row>
    <row r="99" spans="1:3" x14ac:dyDescent="0.25">
      <c r="A99" s="49" t="s">
        <v>304</v>
      </c>
      <c r="B99" s="49" t="s">
        <v>158</v>
      </c>
      <c r="C99" s="49" t="s">
        <v>159</v>
      </c>
    </row>
    <row r="100" spans="1:3" x14ac:dyDescent="0.25">
      <c r="A100" s="49" t="s">
        <v>304</v>
      </c>
      <c r="B100" s="49" t="s">
        <v>160</v>
      </c>
      <c r="C100" s="49" t="s">
        <v>161</v>
      </c>
    </row>
    <row r="101" spans="1:3" x14ac:dyDescent="0.25">
      <c r="A101" s="49" t="s">
        <v>304</v>
      </c>
      <c r="B101" s="49" t="s">
        <v>164</v>
      </c>
      <c r="C101" s="49" t="s">
        <v>165</v>
      </c>
    </row>
    <row r="102" spans="1:3" x14ac:dyDescent="0.25">
      <c r="A102" s="49" t="s">
        <v>304</v>
      </c>
      <c r="B102" s="49" t="s">
        <v>170</v>
      </c>
      <c r="C102" s="49" t="s">
        <v>171</v>
      </c>
    </row>
    <row r="103" spans="1:3" x14ac:dyDescent="0.25">
      <c r="A103" s="49" t="s">
        <v>304</v>
      </c>
      <c r="B103" s="49" t="s">
        <v>173</v>
      </c>
      <c r="C103" s="49" t="s">
        <v>174</v>
      </c>
    </row>
    <row r="104" spans="1:3" x14ac:dyDescent="0.25">
      <c r="A104" s="49" t="s">
        <v>304</v>
      </c>
      <c r="B104" s="49" t="s">
        <v>177</v>
      </c>
      <c r="C104" s="49" t="s">
        <v>178</v>
      </c>
    </row>
    <row r="105" spans="1:3" x14ac:dyDescent="0.25">
      <c r="A105" s="49" t="s">
        <v>304</v>
      </c>
      <c r="B105" s="49" t="s">
        <v>181</v>
      </c>
      <c r="C105" s="49" t="s">
        <v>182</v>
      </c>
    </row>
    <row r="106" spans="1:3" x14ac:dyDescent="0.25">
      <c r="A106" s="49" t="s">
        <v>304</v>
      </c>
      <c r="B106" s="49" t="s">
        <v>183</v>
      </c>
      <c r="C106" s="49" t="s">
        <v>184</v>
      </c>
    </row>
    <row r="107" spans="1:3" x14ac:dyDescent="0.25">
      <c r="A107" s="49" t="s">
        <v>304</v>
      </c>
      <c r="B107" s="49" t="s">
        <v>185</v>
      </c>
      <c r="C107" s="49" t="s">
        <v>186</v>
      </c>
    </row>
    <row r="108" spans="1:3" x14ac:dyDescent="0.25">
      <c r="A108" s="49" t="s">
        <v>304</v>
      </c>
      <c r="B108" s="49" t="s">
        <v>187</v>
      </c>
      <c r="C108" s="49" t="s">
        <v>188</v>
      </c>
    </row>
    <row r="109" spans="1:3" x14ac:dyDescent="0.25">
      <c r="A109" s="49" t="s">
        <v>304</v>
      </c>
      <c r="B109" s="49" t="s">
        <v>189</v>
      </c>
      <c r="C109" s="49" t="s">
        <v>190</v>
      </c>
    </row>
    <row r="110" spans="1:3" x14ac:dyDescent="0.25">
      <c r="A110" s="49" t="s">
        <v>304</v>
      </c>
      <c r="B110" s="49" t="s">
        <v>191</v>
      </c>
      <c r="C110" s="49" t="s">
        <v>192</v>
      </c>
    </row>
    <row r="111" spans="1:3" x14ac:dyDescent="0.25">
      <c r="A111" s="49" t="s">
        <v>304</v>
      </c>
      <c r="B111" s="49" t="s">
        <v>193</v>
      </c>
      <c r="C111" s="49" t="s">
        <v>194</v>
      </c>
    </row>
    <row r="112" spans="1:3" x14ac:dyDescent="0.25">
      <c r="A112" s="49" t="s">
        <v>304</v>
      </c>
      <c r="B112" s="49" t="s">
        <v>195</v>
      </c>
      <c r="C112" s="49" t="s">
        <v>196</v>
      </c>
    </row>
    <row r="113" spans="1:3" x14ac:dyDescent="0.25">
      <c r="A113" s="49" t="s">
        <v>304</v>
      </c>
      <c r="B113" s="49" t="s">
        <v>197</v>
      </c>
      <c r="C113" s="49" t="s">
        <v>198</v>
      </c>
    </row>
    <row r="114" spans="1:3" x14ac:dyDescent="0.25">
      <c r="A114" s="49" t="s">
        <v>304</v>
      </c>
      <c r="B114" s="49" t="s">
        <v>201</v>
      </c>
      <c r="C114" s="49" t="s">
        <v>202</v>
      </c>
    </row>
    <row r="115" spans="1:3" x14ac:dyDescent="0.25">
      <c r="A115" s="49" t="s">
        <v>304</v>
      </c>
      <c r="B115" s="49" t="s">
        <v>205</v>
      </c>
      <c r="C115" s="49" t="s">
        <v>206</v>
      </c>
    </row>
    <row r="116" spans="1:3" x14ac:dyDescent="0.25">
      <c r="A116" s="49" t="s">
        <v>304</v>
      </c>
      <c r="B116" s="49" t="s">
        <v>207</v>
      </c>
      <c r="C116" s="49" t="s">
        <v>208</v>
      </c>
    </row>
    <row r="117" spans="1:3" x14ac:dyDescent="0.25">
      <c r="A117" s="49" t="s">
        <v>304</v>
      </c>
      <c r="B117" s="49" t="s">
        <v>209</v>
      </c>
      <c r="C117" s="49" t="s">
        <v>210</v>
      </c>
    </row>
    <row r="118" spans="1:3" x14ac:dyDescent="0.25">
      <c r="A118" s="49" t="s">
        <v>304</v>
      </c>
      <c r="B118" s="49" t="s">
        <v>211</v>
      </c>
      <c r="C118" s="49" t="s">
        <v>212</v>
      </c>
    </row>
    <row r="119" spans="1:3" x14ac:dyDescent="0.25">
      <c r="A119" s="49" t="s">
        <v>304</v>
      </c>
      <c r="B119" s="49" t="s">
        <v>213</v>
      </c>
      <c r="C119" s="49" t="s">
        <v>214</v>
      </c>
    </row>
    <row r="120" spans="1:3" x14ac:dyDescent="0.25">
      <c r="A120" s="49" t="s">
        <v>304</v>
      </c>
      <c r="B120" s="49" t="s">
        <v>219</v>
      </c>
      <c r="C120" s="49" t="s">
        <v>220</v>
      </c>
    </row>
    <row r="121" spans="1:3" x14ac:dyDescent="0.25">
      <c r="A121" s="49" t="s">
        <v>304</v>
      </c>
      <c r="B121" s="49" t="s">
        <v>229</v>
      </c>
      <c r="C121" s="49" t="s">
        <v>230</v>
      </c>
    </row>
    <row r="122" spans="1:3" x14ac:dyDescent="0.25">
      <c r="A122" s="49" t="s">
        <v>304</v>
      </c>
      <c r="B122" s="49" t="s">
        <v>231</v>
      </c>
      <c r="C122" s="49" t="s">
        <v>232</v>
      </c>
    </row>
    <row r="123" spans="1:3" x14ac:dyDescent="0.25">
      <c r="A123" s="49" t="s">
        <v>304</v>
      </c>
      <c r="B123" s="49" t="s">
        <v>233</v>
      </c>
      <c r="C123" s="49" t="s">
        <v>234</v>
      </c>
    </row>
    <row r="124" spans="1:3" x14ac:dyDescent="0.25">
      <c r="A124" s="49" t="s">
        <v>304</v>
      </c>
      <c r="B124" s="49" t="s">
        <v>235</v>
      </c>
      <c r="C124" s="49" t="s">
        <v>236</v>
      </c>
    </row>
    <row r="125" spans="1:3" x14ac:dyDescent="0.25">
      <c r="A125" s="49" t="s">
        <v>304</v>
      </c>
      <c r="B125" s="49" t="s">
        <v>237</v>
      </c>
      <c r="C125" s="49" t="s">
        <v>238</v>
      </c>
    </row>
    <row r="126" spans="1:3" x14ac:dyDescent="0.25">
      <c r="A126" s="49" t="s">
        <v>304</v>
      </c>
      <c r="B126" s="49" t="s">
        <v>240</v>
      </c>
      <c r="C126" s="49" t="s">
        <v>241</v>
      </c>
    </row>
    <row r="127" spans="1:3" x14ac:dyDescent="0.25">
      <c r="A127" s="49" t="s">
        <v>304</v>
      </c>
      <c r="B127" s="49" t="s">
        <v>242</v>
      </c>
      <c r="C127" s="49" t="s">
        <v>243</v>
      </c>
    </row>
    <row r="128" spans="1:3" x14ac:dyDescent="0.25">
      <c r="A128" s="49" t="s">
        <v>304</v>
      </c>
      <c r="B128" s="49" t="s">
        <v>244</v>
      </c>
      <c r="C128" s="49" t="s">
        <v>245</v>
      </c>
    </row>
    <row r="129" spans="1:3" x14ac:dyDescent="0.25">
      <c r="A129" s="49" t="s">
        <v>304</v>
      </c>
      <c r="B129" s="49" t="s">
        <v>246</v>
      </c>
      <c r="C129" s="49" t="s">
        <v>247</v>
      </c>
    </row>
    <row r="130" spans="1:3" x14ac:dyDescent="0.25">
      <c r="A130" s="49" t="s">
        <v>304</v>
      </c>
      <c r="B130" s="49" t="s">
        <v>248</v>
      </c>
      <c r="C130" s="49" t="s">
        <v>249</v>
      </c>
    </row>
    <row r="131" spans="1:3" x14ac:dyDescent="0.25">
      <c r="A131" s="49" t="s">
        <v>304</v>
      </c>
      <c r="B131" s="49" t="s">
        <v>250</v>
      </c>
      <c r="C131" s="49" t="s">
        <v>251</v>
      </c>
    </row>
    <row r="132" spans="1:3" x14ac:dyDescent="0.25">
      <c r="A132" s="49" t="s">
        <v>304</v>
      </c>
      <c r="B132" s="49" t="s">
        <v>252</v>
      </c>
      <c r="C132" s="49" t="s">
        <v>253</v>
      </c>
    </row>
    <row r="133" spans="1:3" x14ac:dyDescent="0.25">
      <c r="A133" s="49" t="s">
        <v>304</v>
      </c>
      <c r="B133" s="49" t="s">
        <v>254</v>
      </c>
      <c r="C133" s="49" t="s">
        <v>255</v>
      </c>
    </row>
    <row r="134" spans="1:3" x14ac:dyDescent="0.25">
      <c r="A134" s="49" t="s">
        <v>304</v>
      </c>
      <c r="B134" s="49" t="s">
        <v>256</v>
      </c>
      <c r="C134" s="49" t="s">
        <v>257</v>
      </c>
    </row>
    <row r="135" spans="1:3" x14ac:dyDescent="0.25">
      <c r="A135" s="49" t="s">
        <v>304</v>
      </c>
      <c r="B135" s="49" t="s">
        <v>264</v>
      </c>
      <c r="C135" s="49" t="s">
        <v>265</v>
      </c>
    </row>
    <row r="136" spans="1:3" x14ac:dyDescent="0.25">
      <c r="A136" s="49" t="s">
        <v>304</v>
      </c>
      <c r="B136" s="49" t="s">
        <v>268</v>
      </c>
      <c r="C136" s="49" t="s">
        <v>269</v>
      </c>
    </row>
    <row r="137" spans="1:3" x14ac:dyDescent="0.25">
      <c r="A137" s="49" t="s">
        <v>304</v>
      </c>
      <c r="B137" s="49" t="s">
        <v>270</v>
      </c>
      <c r="C137" s="49" t="s">
        <v>271</v>
      </c>
    </row>
    <row r="138" spans="1:3" x14ac:dyDescent="0.25">
      <c r="A138" s="49" t="s">
        <v>304</v>
      </c>
      <c r="B138" s="49" t="s">
        <v>272</v>
      </c>
      <c r="C138" s="49" t="s">
        <v>273</v>
      </c>
    </row>
    <row r="139" spans="1:3" x14ac:dyDescent="0.25">
      <c r="A139" s="49" t="s">
        <v>304</v>
      </c>
      <c r="B139" s="49" t="s">
        <v>276</v>
      </c>
      <c r="C139" s="49" t="s">
        <v>277</v>
      </c>
    </row>
    <row r="140" spans="1:3" x14ac:dyDescent="0.25">
      <c r="A140" s="49" t="s">
        <v>304</v>
      </c>
      <c r="B140" s="49" t="s">
        <v>279</v>
      </c>
      <c r="C140" s="49" t="s">
        <v>280</v>
      </c>
    </row>
    <row r="141" spans="1:3" x14ac:dyDescent="0.25">
      <c r="A141" s="49" t="s">
        <v>304</v>
      </c>
      <c r="B141" s="49" t="s">
        <v>283</v>
      </c>
      <c r="C141" s="49" t="s">
        <v>284</v>
      </c>
    </row>
    <row r="142" spans="1:3" x14ac:dyDescent="0.25">
      <c r="A142" s="49" t="s">
        <v>304</v>
      </c>
      <c r="B142" s="49" t="s">
        <v>285</v>
      </c>
      <c r="C142" s="49" t="s">
        <v>286</v>
      </c>
    </row>
    <row r="143" spans="1:3" x14ac:dyDescent="0.25">
      <c r="A143" s="49" t="s">
        <v>304</v>
      </c>
      <c r="B143" s="49" t="s">
        <v>287</v>
      </c>
      <c r="C143" s="49" t="s">
        <v>288</v>
      </c>
    </row>
    <row r="144" spans="1:3" x14ac:dyDescent="0.25">
      <c r="A144" s="49" t="s">
        <v>304</v>
      </c>
      <c r="B144" s="49" t="s">
        <v>289</v>
      </c>
      <c r="C144" s="49" t="s">
        <v>290</v>
      </c>
    </row>
    <row r="145" spans="1:3" x14ac:dyDescent="0.25">
      <c r="A145" s="49" t="s">
        <v>304</v>
      </c>
      <c r="B145" s="49" t="s">
        <v>291</v>
      </c>
      <c r="C145" s="49" t="s">
        <v>292</v>
      </c>
    </row>
    <row r="146" spans="1:3" x14ac:dyDescent="0.25">
      <c r="A146" s="49" t="s">
        <v>304</v>
      </c>
      <c r="B146" s="49" t="s">
        <v>293</v>
      </c>
      <c r="C146" s="49" t="s">
        <v>294</v>
      </c>
    </row>
    <row r="147" spans="1:3" x14ac:dyDescent="0.25">
      <c r="A147" s="49" t="s">
        <v>304</v>
      </c>
      <c r="B147" s="49" t="s">
        <v>295</v>
      </c>
      <c r="C147" s="49" t="s">
        <v>296</v>
      </c>
    </row>
    <row r="148" spans="1:3" x14ac:dyDescent="0.25">
      <c r="A148" s="49" t="s">
        <v>304</v>
      </c>
      <c r="B148" s="49" t="s">
        <v>297</v>
      </c>
      <c r="C148" s="49" t="s">
        <v>298</v>
      </c>
    </row>
    <row r="149" spans="1:3" x14ac:dyDescent="0.25">
      <c r="A149" s="49" t="s">
        <v>304</v>
      </c>
      <c r="B149" s="49" t="s">
        <v>299</v>
      </c>
      <c r="C149" s="49" t="s">
        <v>300</v>
      </c>
    </row>
  </sheetData>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4"/>
  <sheetViews>
    <sheetView zoomScaleNormal="100" workbookViewId="0">
      <selection activeCell="B11" sqref="B11"/>
    </sheetView>
  </sheetViews>
  <sheetFormatPr defaultRowHeight="12.75" x14ac:dyDescent="0.25"/>
  <cols>
    <col min="1" max="1" width="37" style="145" bestFit="1" customWidth="1"/>
    <col min="2" max="6" width="9.85546875" style="70" customWidth="1"/>
    <col min="7" max="193" width="9.140625" style="70"/>
    <col min="194" max="194" width="37.140625" style="70" customWidth="1"/>
    <col min="195" max="195" width="9" style="70" customWidth="1"/>
    <col min="196" max="196" width="9.7109375" style="70" customWidth="1"/>
    <col min="197" max="197" width="11.7109375" style="70" customWidth="1"/>
    <col min="198" max="198" width="10.28515625" style="70" customWidth="1"/>
    <col min="199" max="199" width="11.42578125" style="70" bestFit="1" customWidth="1"/>
    <col min="200" max="200" width="9.140625" style="70" customWidth="1"/>
    <col min="201" max="449" width="9.140625" style="70"/>
    <col min="450" max="450" width="37.140625" style="70" customWidth="1"/>
    <col min="451" max="451" width="9" style="70" customWidth="1"/>
    <col min="452" max="452" width="9.7109375" style="70" customWidth="1"/>
    <col min="453" max="453" width="11.7109375" style="70" customWidth="1"/>
    <col min="454" max="454" width="10.28515625" style="70" customWidth="1"/>
    <col min="455" max="455" width="11.42578125" style="70" bestFit="1" customWidth="1"/>
    <col min="456" max="456" width="9.140625" style="70" customWidth="1"/>
    <col min="457" max="705" width="9.140625" style="70"/>
    <col min="706" max="706" width="37.140625" style="70" customWidth="1"/>
    <col min="707" max="707" width="9" style="70" customWidth="1"/>
    <col min="708" max="708" width="9.7109375" style="70" customWidth="1"/>
    <col min="709" max="709" width="11.7109375" style="70" customWidth="1"/>
    <col min="710" max="710" width="10.28515625" style="70" customWidth="1"/>
    <col min="711" max="711" width="11.42578125" style="70" bestFit="1" customWidth="1"/>
    <col min="712" max="712" width="9.140625" style="70" customWidth="1"/>
    <col min="713" max="961" width="9.140625" style="70"/>
    <col min="962" max="962" width="37.140625" style="70" customWidth="1"/>
    <col min="963" max="963" width="9" style="70" customWidth="1"/>
    <col min="964" max="964" width="9.7109375" style="70" customWidth="1"/>
    <col min="965" max="965" width="11.7109375" style="70" customWidth="1"/>
    <col min="966" max="966" width="10.28515625" style="70" customWidth="1"/>
    <col min="967" max="967" width="11.42578125" style="70" bestFit="1" customWidth="1"/>
    <col min="968" max="968" width="9.140625" style="70" customWidth="1"/>
    <col min="969" max="1217" width="9.140625" style="70"/>
    <col min="1218" max="1218" width="37.140625" style="70" customWidth="1"/>
    <col min="1219" max="1219" width="9" style="70" customWidth="1"/>
    <col min="1220" max="1220" width="9.7109375" style="70" customWidth="1"/>
    <col min="1221" max="1221" width="11.7109375" style="70" customWidth="1"/>
    <col min="1222" max="1222" width="10.28515625" style="70" customWidth="1"/>
    <col min="1223" max="1223" width="11.42578125" style="70" bestFit="1" customWidth="1"/>
    <col min="1224" max="1224" width="9.140625" style="70" customWidth="1"/>
    <col min="1225" max="1473" width="9.140625" style="70"/>
    <col min="1474" max="1474" width="37.140625" style="70" customWidth="1"/>
    <col min="1475" max="1475" width="9" style="70" customWidth="1"/>
    <col min="1476" max="1476" width="9.7109375" style="70" customWidth="1"/>
    <col min="1477" max="1477" width="11.7109375" style="70" customWidth="1"/>
    <col min="1478" max="1478" width="10.28515625" style="70" customWidth="1"/>
    <col min="1479" max="1479" width="11.42578125" style="70" bestFit="1" customWidth="1"/>
    <col min="1480" max="1480" width="9.140625" style="70" customWidth="1"/>
    <col min="1481" max="1729" width="9.140625" style="70"/>
    <col min="1730" max="1730" width="37.140625" style="70" customWidth="1"/>
    <col min="1731" max="1731" width="9" style="70" customWidth="1"/>
    <col min="1732" max="1732" width="9.7109375" style="70" customWidth="1"/>
    <col min="1733" max="1733" width="11.7109375" style="70" customWidth="1"/>
    <col min="1734" max="1734" width="10.28515625" style="70" customWidth="1"/>
    <col min="1735" max="1735" width="11.42578125" style="70" bestFit="1" customWidth="1"/>
    <col min="1736" max="1736" width="9.140625" style="70" customWidth="1"/>
    <col min="1737" max="1985" width="9.140625" style="70"/>
    <col min="1986" max="1986" width="37.140625" style="70" customWidth="1"/>
    <col min="1987" max="1987" width="9" style="70" customWidth="1"/>
    <col min="1988" max="1988" width="9.7109375" style="70" customWidth="1"/>
    <col min="1989" max="1989" width="11.7109375" style="70" customWidth="1"/>
    <col min="1990" max="1990" width="10.28515625" style="70" customWidth="1"/>
    <col min="1991" max="1991" width="11.42578125" style="70" bestFit="1" customWidth="1"/>
    <col min="1992" max="1992" width="9.140625" style="70" customWidth="1"/>
    <col min="1993" max="2241" width="9.140625" style="70"/>
    <col min="2242" max="2242" width="37.140625" style="70" customWidth="1"/>
    <col min="2243" max="2243" width="9" style="70" customWidth="1"/>
    <col min="2244" max="2244" width="9.7109375" style="70" customWidth="1"/>
    <col min="2245" max="2245" width="11.7109375" style="70" customWidth="1"/>
    <col min="2246" max="2246" width="10.28515625" style="70" customWidth="1"/>
    <col min="2247" max="2247" width="11.42578125" style="70" bestFit="1" customWidth="1"/>
    <col min="2248" max="2248" width="9.140625" style="70" customWidth="1"/>
    <col min="2249" max="2497" width="9.140625" style="70"/>
    <col min="2498" max="2498" width="37.140625" style="70" customWidth="1"/>
    <col min="2499" max="2499" width="9" style="70" customWidth="1"/>
    <col min="2500" max="2500" width="9.7109375" style="70" customWidth="1"/>
    <col min="2501" max="2501" width="11.7109375" style="70" customWidth="1"/>
    <col min="2502" max="2502" width="10.28515625" style="70" customWidth="1"/>
    <col min="2503" max="2503" width="11.42578125" style="70" bestFit="1" customWidth="1"/>
    <col min="2504" max="2504" width="9.140625" style="70" customWidth="1"/>
    <col min="2505" max="2753" width="9.140625" style="70"/>
    <col min="2754" max="2754" width="37.140625" style="70" customWidth="1"/>
    <col min="2755" max="2755" width="9" style="70" customWidth="1"/>
    <col min="2756" max="2756" width="9.7109375" style="70" customWidth="1"/>
    <col min="2757" max="2757" width="11.7109375" style="70" customWidth="1"/>
    <col min="2758" max="2758" width="10.28515625" style="70" customWidth="1"/>
    <col min="2759" max="2759" width="11.42578125" style="70" bestFit="1" customWidth="1"/>
    <col min="2760" max="2760" width="9.140625" style="70" customWidth="1"/>
    <col min="2761" max="3009" width="9.140625" style="70"/>
    <col min="3010" max="3010" width="37.140625" style="70" customWidth="1"/>
    <col min="3011" max="3011" width="9" style="70" customWidth="1"/>
    <col min="3012" max="3012" width="9.7109375" style="70" customWidth="1"/>
    <col min="3013" max="3013" width="11.7109375" style="70" customWidth="1"/>
    <col min="3014" max="3014" width="10.28515625" style="70" customWidth="1"/>
    <col min="3015" max="3015" width="11.42578125" style="70" bestFit="1" customWidth="1"/>
    <col min="3016" max="3016" width="9.140625" style="70" customWidth="1"/>
    <col min="3017" max="3265" width="9.140625" style="70"/>
    <col min="3266" max="3266" width="37.140625" style="70" customWidth="1"/>
    <col min="3267" max="3267" width="9" style="70" customWidth="1"/>
    <col min="3268" max="3268" width="9.7109375" style="70" customWidth="1"/>
    <col min="3269" max="3269" width="11.7109375" style="70" customWidth="1"/>
    <col min="3270" max="3270" width="10.28515625" style="70" customWidth="1"/>
    <col min="3271" max="3271" width="11.42578125" style="70" bestFit="1" customWidth="1"/>
    <col min="3272" max="3272" width="9.140625" style="70" customWidth="1"/>
    <col min="3273" max="3521" width="9.140625" style="70"/>
    <col min="3522" max="3522" width="37.140625" style="70" customWidth="1"/>
    <col min="3523" max="3523" width="9" style="70" customWidth="1"/>
    <col min="3524" max="3524" width="9.7109375" style="70" customWidth="1"/>
    <col min="3525" max="3525" width="11.7109375" style="70" customWidth="1"/>
    <col min="3526" max="3526" width="10.28515625" style="70" customWidth="1"/>
    <col min="3527" max="3527" width="11.42578125" style="70" bestFit="1" customWidth="1"/>
    <col min="3528" max="3528" width="9.140625" style="70" customWidth="1"/>
    <col min="3529" max="3777" width="9.140625" style="70"/>
    <col min="3778" max="3778" width="37.140625" style="70" customWidth="1"/>
    <col min="3779" max="3779" width="9" style="70" customWidth="1"/>
    <col min="3780" max="3780" width="9.7109375" style="70" customWidth="1"/>
    <col min="3781" max="3781" width="11.7109375" style="70" customWidth="1"/>
    <col min="3782" max="3782" width="10.28515625" style="70" customWidth="1"/>
    <col min="3783" max="3783" width="11.42578125" style="70" bestFit="1" customWidth="1"/>
    <col min="3784" max="3784" width="9.140625" style="70" customWidth="1"/>
    <col min="3785" max="4033" width="9.140625" style="70"/>
    <col min="4034" max="4034" width="37.140625" style="70" customWidth="1"/>
    <col min="4035" max="4035" width="9" style="70" customWidth="1"/>
    <col min="4036" max="4036" width="9.7109375" style="70" customWidth="1"/>
    <col min="4037" max="4037" width="11.7109375" style="70" customWidth="1"/>
    <col min="4038" max="4038" width="10.28515625" style="70" customWidth="1"/>
    <col min="4039" max="4039" width="11.42578125" style="70" bestFit="1" customWidth="1"/>
    <col min="4040" max="4040" width="9.140625" style="70" customWidth="1"/>
    <col min="4041" max="4289" width="9.140625" style="70"/>
    <col min="4290" max="4290" width="37.140625" style="70" customWidth="1"/>
    <col min="4291" max="4291" width="9" style="70" customWidth="1"/>
    <col min="4292" max="4292" width="9.7109375" style="70" customWidth="1"/>
    <col min="4293" max="4293" width="11.7109375" style="70" customWidth="1"/>
    <col min="4294" max="4294" width="10.28515625" style="70" customWidth="1"/>
    <col min="4295" max="4295" width="11.42578125" style="70" bestFit="1" customWidth="1"/>
    <col min="4296" max="4296" width="9.140625" style="70" customWidth="1"/>
    <col min="4297" max="4545" width="9.140625" style="70"/>
    <col min="4546" max="4546" width="37.140625" style="70" customWidth="1"/>
    <col min="4547" max="4547" width="9" style="70" customWidth="1"/>
    <col min="4548" max="4548" width="9.7109375" style="70" customWidth="1"/>
    <col min="4549" max="4549" width="11.7109375" style="70" customWidth="1"/>
    <col min="4550" max="4550" width="10.28515625" style="70" customWidth="1"/>
    <col min="4551" max="4551" width="11.42578125" style="70" bestFit="1" customWidth="1"/>
    <col min="4552" max="4552" width="9.140625" style="70" customWidth="1"/>
    <col min="4553" max="4801" width="9.140625" style="70"/>
    <col min="4802" max="4802" width="37.140625" style="70" customWidth="1"/>
    <col min="4803" max="4803" width="9" style="70" customWidth="1"/>
    <col min="4804" max="4804" width="9.7109375" style="70" customWidth="1"/>
    <col min="4805" max="4805" width="11.7109375" style="70" customWidth="1"/>
    <col min="4806" max="4806" width="10.28515625" style="70" customWidth="1"/>
    <col min="4807" max="4807" width="11.42578125" style="70" bestFit="1" customWidth="1"/>
    <col min="4808" max="4808" width="9.140625" style="70" customWidth="1"/>
    <col min="4809" max="5057" width="9.140625" style="70"/>
    <col min="5058" max="5058" width="37.140625" style="70" customWidth="1"/>
    <col min="5059" max="5059" width="9" style="70" customWidth="1"/>
    <col min="5060" max="5060" width="9.7109375" style="70" customWidth="1"/>
    <col min="5061" max="5061" width="11.7109375" style="70" customWidth="1"/>
    <col min="5062" max="5062" width="10.28515625" style="70" customWidth="1"/>
    <col min="5063" max="5063" width="11.42578125" style="70" bestFit="1" customWidth="1"/>
    <col min="5064" max="5064" width="9.140625" style="70" customWidth="1"/>
    <col min="5065" max="5313" width="9.140625" style="70"/>
    <col min="5314" max="5314" width="37.140625" style="70" customWidth="1"/>
    <col min="5315" max="5315" width="9" style="70" customWidth="1"/>
    <col min="5316" max="5316" width="9.7109375" style="70" customWidth="1"/>
    <col min="5317" max="5317" width="11.7109375" style="70" customWidth="1"/>
    <col min="5318" max="5318" width="10.28515625" style="70" customWidth="1"/>
    <col min="5319" max="5319" width="11.42578125" style="70" bestFit="1" customWidth="1"/>
    <col min="5320" max="5320" width="9.140625" style="70" customWidth="1"/>
    <col min="5321" max="5569" width="9.140625" style="70"/>
    <col min="5570" max="5570" width="37.140625" style="70" customWidth="1"/>
    <col min="5571" max="5571" width="9" style="70" customWidth="1"/>
    <col min="5572" max="5572" width="9.7109375" style="70" customWidth="1"/>
    <col min="5573" max="5573" width="11.7109375" style="70" customWidth="1"/>
    <col min="5574" max="5574" width="10.28515625" style="70" customWidth="1"/>
    <col min="5575" max="5575" width="11.42578125" style="70" bestFit="1" customWidth="1"/>
    <col min="5576" max="5576" width="9.140625" style="70" customWidth="1"/>
    <col min="5577" max="5825" width="9.140625" style="70"/>
    <col min="5826" max="5826" width="37.140625" style="70" customWidth="1"/>
    <col min="5827" max="5827" width="9" style="70" customWidth="1"/>
    <col min="5828" max="5828" width="9.7109375" style="70" customWidth="1"/>
    <col min="5829" max="5829" width="11.7109375" style="70" customWidth="1"/>
    <col min="5830" max="5830" width="10.28515625" style="70" customWidth="1"/>
    <col min="5831" max="5831" width="11.42578125" style="70" bestFit="1" customWidth="1"/>
    <col min="5832" max="5832" width="9.140625" style="70" customWidth="1"/>
    <col min="5833" max="6081" width="9.140625" style="70"/>
    <col min="6082" max="6082" width="37.140625" style="70" customWidth="1"/>
    <col min="6083" max="6083" width="9" style="70" customWidth="1"/>
    <col min="6084" max="6084" width="9.7109375" style="70" customWidth="1"/>
    <col min="6085" max="6085" width="11.7109375" style="70" customWidth="1"/>
    <col min="6086" max="6086" width="10.28515625" style="70" customWidth="1"/>
    <col min="6087" max="6087" width="11.42578125" style="70" bestFit="1" customWidth="1"/>
    <col min="6088" max="6088" width="9.140625" style="70" customWidth="1"/>
    <col min="6089" max="6337" width="9.140625" style="70"/>
    <col min="6338" max="6338" width="37.140625" style="70" customWidth="1"/>
    <col min="6339" max="6339" width="9" style="70" customWidth="1"/>
    <col min="6340" max="6340" width="9.7109375" style="70" customWidth="1"/>
    <col min="6341" max="6341" width="11.7109375" style="70" customWidth="1"/>
    <col min="6342" max="6342" width="10.28515625" style="70" customWidth="1"/>
    <col min="6343" max="6343" width="11.42578125" style="70" bestFit="1" customWidth="1"/>
    <col min="6344" max="6344" width="9.140625" style="70" customWidth="1"/>
    <col min="6345" max="6593" width="9.140625" style="70"/>
    <col min="6594" max="6594" width="37.140625" style="70" customWidth="1"/>
    <col min="6595" max="6595" width="9" style="70" customWidth="1"/>
    <col min="6596" max="6596" width="9.7109375" style="70" customWidth="1"/>
    <col min="6597" max="6597" width="11.7109375" style="70" customWidth="1"/>
    <col min="6598" max="6598" width="10.28515625" style="70" customWidth="1"/>
    <col min="6599" max="6599" width="11.42578125" style="70" bestFit="1" customWidth="1"/>
    <col min="6600" max="6600" width="9.140625" style="70" customWidth="1"/>
    <col min="6601" max="6849" width="9.140625" style="70"/>
    <col min="6850" max="6850" width="37.140625" style="70" customWidth="1"/>
    <col min="6851" max="6851" width="9" style="70" customWidth="1"/>
    <col min="6852" max="6852" width="9.7109375" style="70" customWidth="1"/>
    <col min="6853" max="6853" width="11.7109375" style="70" customWidth="1"/>
    <col min="6854" max="6854" width="10.28515625" style="70" customWidth="1"/>
    <col min="6855" max="6855" width="11.42578125" style="70" bestFit="1" customWidth="1"/>
    <col min="6856" max="6856" width="9.140625" style="70" customWidth="1"/>
    <col min="6857" max="7105" width="9.140625" style="70"/>
    <col min="7106" max="7106" width="37.140625" style="70" customWidth="1"/>
    <col min="7107" max="7107" width="9" style="70" customWidth="1"/>
    <col min="7108" max="7108" width="9.7109375" style="70" customWidth="1"/>
    <col min="7109" max="7109" width="11.7109375" style="70" customWidth="1"/>
    <col min="7110" max="7110" width="10.28515625" style="70" customWidth="1"/>
    <col min="7111" max="7111" width="11.42578125" style="70" bestFit="1" customWidth="1"/>
    <col min="7112" max="7112" width="9.140625" style="70" customWidth="1"/>
    <col min="7113" max="7361" width="9.140625" style="70"/>
    <col min="7362" max="7362" width="37.140625" style="70" customWidth="1"/>
    <col min="7363" max="7363" width="9" style="70" customWidth="1"/>
    <col min="7364" max="7364" width="9.7109375" style="70" customWidth="1"/>
    <col min="7365" max="7365" width="11.7109375" style="70" customWidth="1"/>
    <col min="7366" max="7366" width="10.28515625" style="70" customWidth="1"/>
    <col min="7367" max="7367" width="11.42578125" style="70" bestFit="1" customWidth="1"/>
    <col min="7368" max="7368" width="9.140625" style="70" customWidth="1"/>
    <col min="7369" max="7617" width="9.140625" style="70"/>
    <col min="7618" max="7618" width="37.140625" style="70" customWidth="1"/>
    <col min="7619" max="7619" width="9" style="70" customWidth="1"/>
    <col min="7620" max="7620" width="9.7109375" style="70" customWidth="1"/>
    <col min="7621" max="7621" width="11.7109375" style="70" customWidth="1"/>
    <col min="7622" max="7622" width="10.28515625" style="70" customWidth="1"/>
    <col min="7623" max="7623" width="11.42578125" style="70" bestFit="1" customWidth="1"/>
    <col min="7624" max="7624" width="9.140625" style="70" customWidth="1"/>
    <col min="7625" max="7873" width="9.140625" style="70"/>
    <col min="7874" max="7874" width="37.140625" style="70" customWidth="1"/>
    <col min="7875" max="7875" width="9" style="70" customWidth="1"/>
    <col min="7876" max="7876" width="9.7109375" style="70" customWidth="1"/>
    <col min="7877" max="7877" width="11.7109375" style="70" customWidth="1"/>
    <col min="7878" max="7878" width="10.28515625" style="70" customWidth="1"/>
    <col min="7879" max="7879" width="11.42578125" style="70" bestFit="1" customWidth="1"/>
    <col min="7880" max="7880" width="9.140625" style="70" customWidth="1"/>
    <col min="7881" max="8129" width="9.140625" style="70"/>
    <col min="8130" max="8130" width="37.140625" style="70" customWidth="1"/>
    <col min="8131" max="8131" width="9" style="70" customWidth="1"/>
    <col min="8132" max="8132" width="9.7109375" style="70" customWidth="1"/>
    <col min="8133" max="8133" width="11.7109375" style="70" customWidth="1"/>
    <col min="8134" max="8134" width="10.28515625" style="70" customWidth="1"/>
    <col min="8135" max="8135" width="11.42578125" style="70" bestFit="1" customWidth="1"/>
    <col min="8136" max="8136" width="9.140625" style="70" customWidth="1"/>
    <col min="8137" max="8385" width="9.140625" style="70"/>
    <col min="8386" max="8386" width="37.140625" style="70" customWidth="1"/>
    <col min="8387" max="8387" width="9" style="70" customWidth="1"/>
    <col min="8388" max="8388" width="9.7109375" style="70" customWidth="1"/>
    <col min="8389" max="8389" width="11.7109375" style="70" customWidth="1"/>
    <col min="8390" max="8390" width="10.28515625" style="70" customWidth="1"/>
    <col min="8391" max="8391" width="11.42578125" style="70" bestFit="1" customWidth="1"/>
    <col min="8392" max="8392" width="9.140625" style="70" customWidth="1"/>
    <col min="8393" max="8641" width="9.140625" style="70"/>
    <col min="8642" max="8642" width="37.140625" style="70" customWidth="1"/>
    <col min="8643" max="8643" width="9" style="70" customWidth="1"/>
    <col min="8644" max="8644" width="9.7109375" style="70" customWidth="1"/>
    <col min="8645" max="8645" width="11.7109375" style="70" customWidth="1"/>
    <col min="8646" max="8646" width="10.28515625" style="70" customWidth="1"/>
    <col min="8647" max="8647" width="11.42578125" style="70" bestFit="1" customWidth="1"/>
    <col min="8648" max="8648" width="9.140625" style="70" customWidth="1"/>
    <col min="8649" max="8897" width="9.140625" style="70"/>
    <col min="8898" max="8898" width="37.140625" style="70" customWidth="1"/>
    <col min="8899" max="8899" width="9" style="70" customWidth="1"/>
    <col min="8900" max="8900" width="9.7109375" style="70" customWidth="1"/>
    <col min="8901" max="8901" width="11.7109375" style="70" customWidth="1"/>
    <col min="8902" max="8902" width="10.28515625" style="70" customWidth="1"/>
    <col min="8903" max="8903" width="11.42578125" style="70" bestFit="1" customWidth="1"/>
    <col min="8904" max="8904" width="9.140625" style="70" customWidth="1"/>
    <col min="8905" max="9153" width="9.140625" style="70"/>
    <col min="9154" max="9154" width="37.140625" style="70" customWidth="1"/>
    <col min="9155" max="9155" width="9" style="70" customWidth="1"/>
    <col min="9156" max="9156" width="9.7109375" style="70" customWidth="1"/>
    <col min="9157" max="9157" width="11.7109375" style="70" customWidth="1"/>
    <col min="9158" max="9158" width="10.28515625" style="70" customWidth="1"/>
    <col min="9159" max="9159" width="11.42578125" style="70" bestFit="1" customWidth="1"/>
    <col min="9160" max="9160" width="9.140625" style="70" customWidth="1"/>
    <col min="9161" max="9409" width="9.140625" style="70"/>
    <col min="9410" max="9410" width="37.140625" style="70" customWidth="1"/>
    <col min="9411" max="9411" width="9" style="70" customWidth="1"/>
    <col min="9412" max="9412" width="9.7109375" style="70" customWidth="1"/>
    <col min="9413" max="9413" width="11.7109375" style="70" customWidth="1"/>
    <col min="9414" max="9414" width="10.28515625" style="70" customWidth="1"/>
    <col min="9415" max="9415" width="11.42578125" style="70" bestFit="1" customWidth="1"/>
    <col min="9416" max="9416" width="9.140625" style="70" customWidth="1"/>
    <col min="9417" max="9665" width="9.140625" style="70"/>
    <col min="9666" max="9666" width="37.140625" style="70" customWidth="1"/>
    <col min="9667" max="9667" width="9" style="70" customWidth="1"/>
    <col min="9668" max="9668" width="9.7109375" style="70" customWidth="1"/>
    <col min="9669" max="9669" width="11.7109375" style="70" customWidth="1"/>
    <col min="9670" max="9670" width="10.28515625" style="70" customWidth="1"/>
    <col min="9671" max="9671" width="11.42578125" style="70" bestFit="1" customWidth="1"/>
    <col min="9672" max="9672" width="9.140625" style="70" customWidth="1"/>
    <col min="9673" max="9921" width="9.140625" style="70"/>
    <col min="9922" max="9922" width="37.140625" style="70" customWidth="1"/>
    <col min="9923" max="9923" width="9" style="70" customWidth="1"/>
    <col min="9924" max="9924" width="9.7109375" style="70" customWidth="1"/>
    <col min="9925" max="9925" width="11.7109375" style="70" customWidth="1"/>
    <col min="9926" max="9926" width="10.28515625" style="70" customWidth="1"/>
    <col min="9927" max="9927" width="11.42578125" style="70" bestFit="1" customWidth="1"/>
    <col min="9928" max="9928" width="9.140625" style="70" customWidth="1"/>
    <col min="9929" max="10177" width="9.140625" style="70"/>
    <col min="10178" max="10178" width="37.140625" style="70" customWidth="1"/>
    <col min="10179" max="10179" width="9" style="70" customWidth="1"/>
    <col min="10180" max="10180" width="9.7109375" style="70" customWidth="1"/>
    <col min="10181" max="10181" width="11.7109375" style="70" customWidth="1"/>
    <col min="10182" max="10182" width="10.28515625" style="70" customWidth="1"/>
    <col min="10183" max="10183" width="11.42578125" style="70" bestFit="1" customWidth="1"/>
    <col min="10184" max="10184" width="9.140625" style="70" customWidth="1"/>
    <col min="10185" max="10433" width="9.140625" style="70"/>
    <col min="10434" max="10434" width="37.140625" style="70" customWidth="1"/>
    <col min="10435" max="10435" width="9" style="70" customWidth="1"/>
    <col min="10436" max="10436" width="9.7109375" style="70" customWidth="1"/>
    <col min="10437" max="10437" width="11.7109375" style="70" customWidth="1"/>
    <col min="10438" max="10438" width="10.28515625" style="70" customWidth="1"/>
    <col min="10439" max="10439" width="11.42578125" style="70" bestFit="1" customWidth="1"/>
    <col min="10440" max="10440" width="9.140625" style="70" customWidth="1"/>
    <col min="10441" max="10689" width="9.140625" style="70"/>
    <col min="10690" max="10690" width="37.140625" style="70" customWidth="1"/>
    <col min="10691" max="10691" width="9" style="70" customWidth="1"/>
    <col min="10692" max="10692" width="9.7109375" style="70" customWidth="1"/>
    <col min="10693" max="10693" width="11.7109375" style="70" customWidth="1"/>
    <col min="10694" max="10694" width="10.28515625" style="70" customWidth="1"/>
    <col min="10695" max="10695" width="11.42578125" style="70" bestFit="1" customWidth="1"/>
    <col min="10696" max="10696" width="9.140625" style="70" customWidth="1"/>
    <col min="10697" max="10945" width="9.140625" style="70"/>
    <col min="10946" max="10946" width="37.140625" style="70" customWidth="1"/>
    <col min="10947" max="10947" width="9" style="70" customWidth="1"/>
    <col min="10948" max="10948" width="9.7109375" style="70" customWidth="1"/>
    <col min="10949" max="10949" width="11.7109375" style="70" customWidth="1"/>
    <col min="10950" max="10950" width="10.28515625" style="70" customWidth="1"/>
    <col min="10951" max="10951" width="11.42578125" style="70" bestFit="1" customWidth="1"/>
    <col min="10952" max="10952" width="9.140625" style="70" customWidth="1"/>
    <col min="10953" max="11201" width="9.140625" style="70"/>
    <col min="11202" max="11202" width="37.140625" style="70" customWidth="1"/>
    <col min="11203" max="11203" width="9" style="70" customWidth="1"/>
    <col min="11204" max="11204" width="9.7109375" style="70" customWidth="1"/>
    <col min="11205" max="11205" width="11.7109375" style="70" customWidth="1"/>
    <col min="11206" max="11206" width="10.28515625" style="70" customWidth="1"/>
    <col min="11207" max="11207" width="11.42578125" style="70" bestFit="1" customWidth="1"/>
    <col min="11208" max="11208" width="9.140625" style="70" customWidth="1"/>
    <col min="11209" max="11457" width="9.140625" style="70"/>
    <col min="11458" max="11458" width="37.140625" style="70" customWidth="1"/>
    <col min="11459" max="11459" width="9" style="70" customWidth="1"/>
    <col min="11460" max="11460" width="9.7109375" style="70" customWidth="1"/>
    <col min="11461" max="11461" width="11.7109375" style="70" customWidth="1"/>
    <col min="11462" max="11462" width="10.28515625" style="70" customWidth="1"/>
    <col min="11463" max="11463" width="11.42578125" style="70" bestFit="1" customWidth="1"/>
    <col min="11464" max="11464" width="9.140625" style="70" customWidth="1"/>
    <col min="11465" max="11713" width="9.140625" style="70"/>
    <col min="11714" max="11714" width="37.140625" style="70" customWidth="1"/>
    <col min="11715" max="11715" width="9" style="70" customWidth="1"/>
    <col min="11716" max="11716" width="9.7109375" style="70" customWidth="1"/>
    <col min="11717" max="11717" width="11.7109375" style="70" customWidth="1"/>
    <col min="11718" max="11718" width="10.28515625" style="70" customWidth="1"/>
    <col min="11719" max="11719" width="11.42578125" style="70" bestFit="1" customWidth="1"/>
    <col min="11720" max="11720" width="9.140625" style="70" customWidth="1"/>
    <col min="11721" max="11969" width="9.140625" style="70"/>
    <col min="11970" max="11970" width="37.140625" style="70" customWidth="1"/>
    <col min="11971" max="11971" width="9" style="70" customWidth="1"/>
    <col min="11972" max="11972" width="9.7109375" style="70" customWidth="1"/>
    <col min="11973" max="11973" width="11.7109375" style="70" customWidth="1"/>
    <col min="11974" max="11974" width="10.28515625" style="70" customWidth="1"/>
    <col min="11975" max="11975" width="11.42578125" style="70" bestFit="1" customWidth="1"/>
    <col min="11976" max="11976" width="9.140625" style="70" customWidth="1"/>
    <col min="11977" max="12225" width="9.140625" style="70"/>
    <col min="12226" max="12226" width="37.140625" style="70" customWidth="1"/>
    <col min="12227" max="12227" width="9" style="70" customWidth="1"/>
    <col min="12228" max="12228" width="9.7109375" style="70" customWidth="1"/>
    <col min="12229" max="12229" width="11.7109375" style="70" customWidth="1"/>
    <col min="12230" max="12230" width="10.28515625" style="70" customWidth="1"/>
    <col min="12231" max="12231" width="11.42578125" style="70" bestFit="1" customWidth="1"/>
    <col min="12232" max="12232" width="9.140625" style="70" customWidth="1"/>
    <col min="12233" max="12481" width="9.140625" style="70"/>
    <col min="12482" max="12482" width="37.140625" style="70" customWidth="1"/>
    <col min="12483" max="12483" width="9" style="70" customWidth="1"/>
    <col min="12484" max="12484" width="9.7109375" style="70" customWidth="1"/>
    <col min="12485" max="12485" width="11.7109375" style="70" customWidth="1"/>
    <col min="12486" max="12486" width="10.28515625" style="70" customWidth="1"/>
    <col min="12487" max="12487" width="11.42578125" style="70" bestFit="1" customWidth="1"/>
    <col min="12488" max="12488" width="9.140625" style="70" customWidth="1"/>
    <col min="12489" max="12737" width="9.140625" style="70"/>
    <col min="12738" max="12738" width="37.140625" style="70" customWidth="1"/>
    <col min="12739" max="12739" width="9" style="70" customWidth="1"/>
    <col min="12740" max="12740" width="9.7109375" style="70" customWidth="1"/>
    <col min="12741" max="12741" width="11.7109375" style="70" customWidth="1"/>
    <col min="12742" max="12742" width="10.28515625" style="70" customWidth="1"/>
    <col min="12743" max="12743" width="11.42578125" style="70" bestFit="1" customWidth="1"/>
    <col min="12744" max="12744" width="9.140625" style="70" customWidth="1"/>
    <col min="12745" max="12993" width="9.140625" style="70"/>
    <col min="12994" max="12994" width="37.140625" style="70" customWidth="1"/>
    <col min="12995" max="12995" width="9" style="70" customWidth="1"/>
    <col min="12996" max="12996" width="9.7109375" style="70" customWidth="1"/>
    <col min="12997" max="12997" width="11.7109375" style="70" customWidth="1"/>
    <col min="12998" max="12998" width="10.28515625" style="70" customWidth="1"/>
    <col min="12999" max="12999" width="11.42578125" style="70" bestFit="1" customWidth="1"/>
    <col min="13000" max="13000" width="9.140625" style="70" customWidth="1"/>
    <col min="13001" max="13249" width="9.140625" style="70"/>
    <col min="13250" max="13250" width="37.140625" style="70" customWidth="1"/>
    <col min="13251" max="13251" width="9" style="70" customWidth="1"/>
    <col min="13252" max="13252" width="9.7109375" style="70" customWidth="1"/>
    <col min="13253" max="13253" width="11.7109375" style="70" customWidth="1"/>
    <col min="13254" max="13254" width="10.28515625" style="70" customWidth="1"/>
    <col min="13255" max="13255" width="11.42578125" style="70" bestFit="1" customWidth="1"/>
    <col min="13256" max="13256" width="9.140625" style="70" customWidth="1"/>
    <col min="13257" max="13505" width="9.140625" style="70"/>
    <col min="13506" max="13506" width="37.140625" style="70" customWidth="1"/>
    <col min="13507" max="13507" width="9" style="70" customWidth="1"/>
    <col min="13508" max="13508" width="9.7109375" style="70" customWidth="1"/>
    <col min="13509" max="13509" width="11.7109375" style="70" customWidth="1"/>
    <col min="13510" max="13510" width="10.28515625" style="70" customWidth="1"/>
    <col min="13511" max="13511" width="11.42578125" style="70" bestFit="1" customWidth="1"/>
    <col min="13512" max="13512" width="9.140625" style="70" customWidth="1"/>
    <col min="13513" max="13761" width="9.140625" style="70"/>
    <col min="13762" max="13762" width="37.140625" style="70" customWidth="1"/>
    <col min="13763" max="13763" width="9" style="70" customWidth="1"/>
    <col min="13764" max="13764" width="9.7109375" style="70" customWidth="1"/>
    <col min="13765" max="13765" width="11.7109375" style="70" customWidth="1"/>
    <col min="13766" max="13766" width="10.28515625" style="70" customWidth="1"/>
    <col min="13767" max="13767" width="11.42578125" style="70" bestFit="1" customWidth="1"/>
    <col min="13768" max="13768" width="9.140625" style="70" customWidth="1"/>
    <col min="13769" max="14017" width="9.140625" style="70"/>
    <col min="14018" max="14018" width="37.140625" style="70" customWidth="1"/>
    <col min="14019" max="14019" width="9" style="70" customWidth="1"/>
    <col min="14020" max="14020" width="9.7109375" style="70" customWidth="1"/>
    <col min="14021" max="14021" width="11.7109375" style="70" customWidth="1"/>
    <col min="14022" max="14022" width="10.28515625" style="70" customWidth="1"/>
    <col min="14023" max="14023" width="11.42578125" style="70" bestFit="1" customWidth="1"/>
    <col min="14024" max="14024" width="9.140625" style="70" customWidth="1"/>
    <col min="14025" max="14273" width="9.140625" style="70"/>
    <col min="14274" max="14274" width="37.140625" style="70" customWidth="1"/>
    <col min="14275" max="14275" width="9" style="70" customWidth="1"/>
    <col min="14276" max="14276" width="9.7109375" style="70" customWidth="1"/>
    <col min="14277" max="14277" width="11.7109375" style="70" customWidth="1"/>
    <col min="14278" max="14278" width="10.28515625" style="70" customWidth="1"/>
    <col min="14279" max="14279" width="11.42578125" style="70" bestFit="1" customWidth="1"/>
    <col min="14280" max="14280" width="9.140625" style="70" customWidth="1"/>
    <col min="14281" max="14529" width="9.140625" style="70"/>
    <col min="14530" max="14530" width="37.140625" style="70" customWidth="1"/>
    <col min="14531" max="14531" width="9" style="70" customWidth="1"/>
    <col min="14532" max="14532" width="9.7109375" style="70" customWidth="1"/>
    <col min="14533" max="14533" width="11.7109375" style="70" customWidth="1"/>
    <col min="14534" max="14534" width="10.28515625" style="70" customWidth="1"/>
    <col min="14535" max="14535" width="11.42578125" style="70" bestFit="1" customWidth="1"/>
    <col min="14536" max="14536" width="9.140625" style="70" customWidth="1"/>
    <col min="14537" max="14785" width="9.140625" style="70"/>
    <col min="14786" max="14786" width="37.140625" style="70" customWidth="1"/>
    <col min="14787" max="14787" width="9" style="70" customWidth="1"/>
    <col min="14788" max="14788" width="9.7109375" style="70" customWidth="1"/>
    <col min="14789" max="14789" width="11.7109375" style="70" customWidth="1"/>
    <col min="14790" max="14790" width="10.28515625" style="70" customWidth="1"/>
    <col min="14791" max="14791" width="11.42578125" style="70" bestFit="1" customWidth="1"/>
    <col min="14792" max="14792" width="9.140625" style="70" customWidth="1"/>
    <col min="14793" max="15041" width="9.140625" style="70"/>
    <col min="15042" max="15042" width="37.140625" style="70" customWidth="1"/>
    <col min="15043" max="15043" width="9" style="70" customWidth="1"/>
    <col min="15044" max="15044" width="9.7109375" style="70" customWidth="1"/>
    <col min="15045" max="15045" width="11.7109375" style="70" customWidth="1"/>
    <col min="15046" max="15046" width="10.28515625" style="70" customWidth="1"/>
    <col min="15047" max="15047" width="11.42578125" style="70" bestFit="1" customWidth="1"/>
    <col min="15048" max="15048" width="9.140625" style="70" customWidth="1"/>
    <col min="15049" max="15297" width="9.140625" style="70"/>
    <col min="15298" max="15298" width="37.140625" style="70" customWidth="1"/>
    <col min="15299" max="15299" width="9" style="70" customWidth="1"/>
    <col min="15300" max="15300" width="9.7109375" style="70" customWidth="1"/>
    <col min="15301" max="15301" width="11.7109375" style="70" customWidth="1"/>
    <col min="15302" max="15302" width="10.28515625" style="70" customWidth="1"/>
    <col min="15303" max="15303" width="11.42578125" style="70" bestFit="1" customWidth="1"/>
    <col min="15304" max="15304" width="9.140625" style="70" customWidth="1"/>
    <col min="15305" max="15553" width="9.140625" style="70"/>
    <col min="15554" max="15554" width="37.140625" style="70" customWidth="1"/>
    <col min="15555" max="15555" width="9" style="70" customWidth="1"/>
    <col min="15556" max="15556" width="9.7109375" style="70" customWidth="1"/>
    <col min="15557" max="15557" width="11.7109375" style="70" customWidth="1"/>
    <col min="15558" max="15558" width="10.28515625" style="70" customWidth="1"/>
    <col min="15559" max="15559" width="11.42578125" style="70" bestFit="1" customWidth="1"/>
    <col min="15560" max="15560" width="9.140625" style="70" customWidth="1"/>
    <col min="15561" max="15809" width="9.140625" style="70"/>
    <col min="15810" max="15810" width="37.140625" style="70" customWidth="1"/>
    <col min="15811" max="15811" width="9" style="70" customWidth="1"/>
    <col min="15812" max="15812" width="9.7109375" style="70" customWidth="1"/>
    <col min="15813" max="15813" width="11.7109375" style="70" customWidth="1"/>
    <col min="15814" max="15814" width="10.28515625" style="70" customWidth="1"/>
    <col min="15815" max="15815" width="11.42578125" style="70" bestFit="1" customWidth="1"/>
    <col min="15816" max="15816" width="9.140625" style="70" customWidth="1"/>
    <col min="15817" max="16065" width="9.140625" style="70"/>
    <col min="16066" max="16066" width="37.140625" style="70" customWidth="1"/>
    <col min="16067" max="16067" width="9" style="70" customWidth="1"/>
    <col min="16068" max="16068" width="9.7109375" style="70" customWidth="1"/>
    <col min="16069" max="16069" width="11.7109375" style="70" customWidth="1"/>
    <col min="16070" max="16070" width="10.28515625" style="70" customWidth="1"/>
    <col min="16071" max="16071" width="11.42578125" style="70" bestFit="1" customWidth="1"/>
    <col min="16072" max="16072" width="9.140625" style="70" customWidth="1"/>
    <col min="16073" max="16384" width="9.140625" style="70"/>
  </cols>
  <sheetData>
    <row r="1" spans="1:8" s="69" customFormat="1" ht="18" x14ac:dyDescent="0.25">
      <c r="A1" s="128" t="str">
        <f>"SPS " &amp; spsRefNo &amp; ": " &amp; projectTitle</f>
        <v xml:space="preserve">SPS : </v>
      </c>
      <c r="B1" s="128"/>
      <c r="C1" s="129" t="s">
        <v>461</v>
      </c>
      <c r="D1" s="129"/>
      <c r="E1" s="129"/>
      <c r="F1" s="92" t="s">
        <v>462</v>
      </c>
    </row>
    <row r="2" spans="1:8" ht="25.5" x14ac:dyDescent="0.25">
      <c r="A2" s="93" t="str">
        <f>F1 &amp; " name"</f>
        <v>NPD name</v>
      </c>
      <c r="B2" s="130" t="s">
        <v>307</v>
      </c>
      <c r="C2" s="130"/>
      <c r="D2" s="130" t="s">
        <v>308</v>
      </c>
      <c r="E2" s="130"/>
      <c r="F2" s="93" t="s">
        <v>450</v>
      </c>
    </row>
    <row r="3" spans="1:8" x14ac:dyDescent="0.2">
      <c r="A3" s="136" t="str">
        <f>INDEX(directors[First],MATCH(F1,directors[Role],0)) &amp; " " &amp; INDEX(directors[Last],MATCH(F1,directors[Role],0))</f>
        <v xml:space="preserve"> </v>
      </c>
      <c r="B3" s="131">
        <f>INDEX(directors[Institution],MATCH(F1,directors[Role],0))</f>
        <v>0</v>
      </c>
      <c r="C3" s="131"/>
      <c r="D3" s="131">
        <f>INDEX(directors[Country],MATCH(F1,directors[Role],0))</f>
        <v>0</v>
      </c>
      <c r="E3" s="131"/>
      <c r="F3" s="94">
        <f>projectDuration</f>
        <v>0</v>
      </c>
    </row>
    <row r="4" spans="1:8" customFormat="1" ht="15" x14ac:dyDescent="0.25">
      <c r="A4" s="137"/>
      <c r="B4" s="79"/>
      <c r="C4" s="79"/>
      <c r="D4" s="79"/>
      <c r="E4" s="79"/>
      <c r="F4" s="79"/>
    </row>
    <row r="5" spans="1:8" x14ac:dyDescent="0.25">
      <c r="A5" s="138" t="s">
        <v>453</v>
      </c>
      <c r="B5" s="95">
        <f>INDEX(milestoneDates[Expected Date (months post Kickoff)],MATCH(B6,milestoneDates[Milestone],0))</f>
        <v>6</v>
      </c>
      <c r="C5" s="95">
        <f>INDEX(milestoneDates[Expected Date (months post Kickoff)],MATCH(C6,milestoneDates[Milestone],0))</f>
        <v>0</v>
      </c>
      <c r="D5" s="95">
        <f>INDEX(milestoneDates[Expected Date (months post Kickoff)],MATCH(D6,milestoneDates[Milestone],0))</f>
        <v>0</v>
      </c>
      <c r="E5" s="95">
        <f>INDEX(milestoneDates[Expected Date (months post Kickoff)],MATCH(E6,milestoneDates[Milestone],0))</f>
        <v>0</v>
      </c>
      <c r="F5" s="95">
        <f>INDEX(milestoneDates[Expected Date (months post Kickoff)],MATCH(F6,milestoneDates[Milestone],0))</f>
        <v>0</v>
      </c>
    </row>
    <row r="6" spans="1:8" ht="25.5" x14ac:dyDescent="0.25">
      <c r="A6" s="96" t="s">
        <v>395</v>
      </c>
      <c r="B6" s="97" t="s">
        <v>407</v>
      </c>
      <c r="C6" s="97" t="s">
        <v>408</v>
      </c>
      <c r="D6" s="97" t="s">
        <v>409</v>
      </c>
      <c r="E6" s="97" t="s">
        <v>485</v>
      </c>
      <c r="F6" s="97" t="s">
        <v>410</v>
      </c>
    </row>
    <row r="7" spans="1:8" x14ac:dyDescent="0.25">
      <c r="A7" s="139" t="str">
        <f>INDEX(categories[Expense Categories],1)</f>
        <v>Equipment</v>
      </c>
      <c r="B7" s="100" t="s">
        <v>454</v>
      </c>
      <c r="C7" s="101"/>
      <c r="D7" s="101"/>
      <c r="E7" s="101"/>
      <c r="F7" s="102"/>
    </row>
    <row r="8" spans="1:8" x14ac:dyDescent="0.2">
      <c r="A8" s="140"/>
      <c r="B8" s="84"/>
      <c r="C8" s="84"/>
      <c r="D8" s="84"/>
      <c r="E8" s="84"/>
      <c r="F8" s="84"/>
    </row>
    <row r="9" spans="1:8" x14ac:dyDescent="0.2">
      <c r="A9" s="140"/>
      <c r="B9" s="84"/>
      <c r="C9" s="84"/>
      <c r="D9" s="84"/>
      <c r="E9" s="84"/>
      <c r="F9" s="84"/>
    </row>
    <row r="10" spans="1:8" x14ac:dyDescent="0.2">
      <c r="A10" s="140"/>
      <c r="B10" s="84"/>
      <c r="C10" s="84"/>
      <c r="D10" s="84"/>
      <c r="E10" s="84"/>
      <c r="F10" s="84"/>
    </row>
    <row r="11" spans="1:8" x14ac:dyDescent="0.2">
      <c r="A11" s="140"/>
      <c r="B11" s="84"/>
      <c r="C11" s="84"/>
      <c r="D11" s="84"/>
      <c r="E11" s="84"/>
      <c r="F11" s="84"/>
    </row>
    <row r="12" spans="1:8" x14ac:dyDescent="0.2">
      <c r="A12" s="140"/>
      <c r="B12" s="84"/>
      <c r="C12" s="84"/>
      <c r="D12" s="84"/>
      <c r="E12" s="84"/>
      <c r="F12" s="84"/>
    </row>
    <row r="13" spans="1:8" x14ac:dyDescent="0.25">
      <c r="A13" s="141" t="str">
        <f>"Subtotal " &amp; A7</f>
        <v>Subtotal Equipment</v>
      </c>
      <c r="B13" s="98">
        <f ca="1">SUBTOTAL(9,B8:OFFSET(B13,-1,0))</f>
        <v>0</v>
      </c>
      <c r="C13" s="98">
        <f ca="1">SUBTOTAL(9,C8:OFFSET(C13,-1,0))</f>
        <v>0</v>
      </c>
      <c r="D13" s="98">
        <f ca="1">SUBTOTAL(9,D8:OFFSET(D13,-1,0))</f>
        <v>0</v>
      </c>
      <c r="E13" s="98">
        <f ca="1">SUBTOTAL(9,E8:OFFSET(E13,-1,0))</f>
        <v>0</v>
      </c>
      <c r="F13" s="98">
        <f ca="1">SUBTOTAL(9,F8:OFFSET(F13,-1,0))</f>
        <v>0</v>
      </c>
    </row>
    <row r="14" spans="1:8" x14ac:dyDescent="0.25">
      <c r="A14" s="139" t="str">
        <f>INDEX(categories[Expense Categories],2)</f>
        <v>Training</v>
      </c>
      <c r="B14" s="100" t="s">
        <v>455</v>
      </c>
      <c r="C14" s="101"/>
      <c r="D14" s="101"/>
      <c r="E14" s="101"/>
      <c r="F14" s="102"/>
      <c r="H14" s="104"/>
    </row>
    <row r="15" spans="1:8" x14ac:dyDescent="0.2">
      <c r="A15" s="140"/>
      <c r="B15" s="84"/>
      <c r="C15" s="84"/>
      <c r="D15" s="84"/>
      <c r="E15" s="84"/>
      <c r="F15" s="84"/>
      <c r="H15" s="104"/>
    </row>
    <row r="16" spans="1:8" x14ac:dyDescent="0.2">
      <c r="A16" s="140"/>
      <c r="B16" s="84"/>
      <c r="C16" s="84"/>
      <c r="D16" s="84"/>
      <c r="E16" s="84"/>
      <c r="F16" s="84"/>
      <c r="H16" s="104"/>
    </row>
    <row r="17" spans="1:8" x14ac:dyDescent="0.25">
      <c r="A17" s="141" t="str">
        <f>"Subtotal " &amp; A14</f>
        <v>Subtotal Training</v>
      </c>
      <c r="B17" s="98">
        <f ca="1">SUBTOTAL(9,B15:OFFSET(B17,-1,0))</f>
        <v>0</v>
      </c>
      <c r="C17" s="98">
        <f ca="1">SUBTOTAL(9,C15:OFFSET(C17,-1,0))</f>
        <v>0</v>
      </c>
      <c r="D17" s="98">
        <f ca="1">SUBTOTAL(9,D15:OFFSET(D17,-1,0))</f>
        <v>0</v>
      </c>
      <c r="E17" s="98">
        <f ca="1">SUBTOTAL(9,E15:OFFSET(E17,-1,0))</f>
        <v>0</v>
      </c>
      <c r="F17" s="98">
        <f ca="1">SUBTOTAL(9,F15:OFFSET(F17,-1,0))</f>
        <v>0</v>
      </c>
      <c r="H17" s="104"/>
    </row>
    <row r="18" spans="1:8" x14ac:dyDescent="0.25">
      <c r="A18" s="139" t="str">
        <f>INDEX(categories[Expense Categories],3)</f>
        <v>Communication &amp; Publication</v>
      </c>
      <c r="B18" s="100"/>
      <c r="C18" s="101"/>
      <c r="D18" s="101"/>
      <c r="E18" s="101"/>
      <c r="F18" s="102"/>
      <c r="H18" s="104"/>
    </row>
    <row r="19" spans="1:8" x14ac:dyDescent="0.2">
      <c r="A19" s="142" t="s">
        <v>456</v>
      </c>
      <c r="B19" s="84"/>
      <c r="C19" s="84"/>
      <c r="D19" s="84"/>
      <c r="E19" s="84"/>
      <c r="F19" s="84"/>
      <c r="H19" s="104"/>
    </row>
    <row r="20" spans="1:8" x14ac:dyDescent="0.2">
      <c r="A20" s="142" t="s">
        <v>457</v>
      </c>
      <c r="B20" s="84"/>
      <c r="C20" s="84"/>
      <c r="D20" s="84"/>
      <c r="E20" s="84"/>
      <c r="F20" s="84"/>
      <c r="H20" s="104"/>
    </row>
    <row r="21" spans="1:8" x14ac:dyDescent="0.2">
      <c r="A21" s="142" t="s">
        <v>458</v>
      </c>
      <c r="B21" s="84"/>
      <c r="C21" s="84"/>
      <c r="D21" s="84"/>
      <c r="E21" s="84"/>
      <c r="F21" s="84"/>
      <c r="H21" s="104"/>
    </row>
    <row r="22" spans="1:8" x14ac:dyDescent="0.25">
      <c r="A22" s="141" t="str">
        <f>"Subtotal " &amp; A18</f>
        <v>Subtotal Communication &amp; Publication</v>
      </c>
      <c r="B22" s="98">
        <f ca="1">SUBTOTAL(9,B19:OFFSET(B22,-1,0))</f>
        <v>0</v>
      </c>
      <c r="C22" s="98">
        <f ca="1">SUBTOTAL(9,C19:OFFSET(C22,-1,0))</f>
        <v>0</v>
      </c>
      <c r="D22" s="98">
        <f ca="1">SUBTOTAL(9,D19:OFFSET(D22,-1,0))</f>
        <v>0</v>
      </c>
      <c r="E22" s="98">
        <f ca="1">SUBTOTAL(9,E19:OFFSET(E22,-1,0))</f>
        <v>0</v>
      </c>
      <c r="F22" s="98">
        <f ca="1">SUBTOTAL(9,F19:OFFSET(F22,-1,0))</f>
        <v>0</v>
      </c>
      <c r="H22" s="104"/>
    </row>
    <row r="23" spans="1:8" x14ac:dyDescent="0.25">
      <c r="A23" s="139" t="str">
        <f>INDEX(categories[Expense Categories],4)</f>
        <v>Travel</v>
      </c>
      <c r="B23" s="100"/>
      <c r="C23" s="101"/>
      <c r="D23" s="101"/>
      <c r="E23" s="101"/>
      <c r="F23" s="102"/>
      <c r="H23" s="104"/>
    </row>
    <row r="24" spans="1:8" x14ac:dyDescent="0.2">
      <c r="A24" s="140"/>
      <c r="B24" s="84"/>
      <c r="C24" s="84"/>
      <c r="D24" s="84"/>
      <c r="E24" s="84"/>
      <c r="F24" s="84"/>
      <c r="H24" s="104"/>
    </row>
    <row r="25" spans="1:8" x14ac:dyDescent="0.2">
      <c r="A25" s="140"/>
      <c r="B25" s="84"/>
      <c r="C25" s="84"/>
      <c r="D25" s="84"/>
      <c r="E25" s="84"/>
      <c r="F25" s="84"/>
      <c r="H25" s="104"/>
    </row>
    <row r="26" spans="1:8" x14ac:dyDescent="0.25">
      <c r="A26" s="141" t="str">
        <f>"Subtotal " &amp; A23</f>
        <v>Subtotal Travel</v>
      </c>
      <c r="B26" s="98">
        <f ca="1">SUBTOTAL(9,B24:OFFSET(B26,-1,0))</f>
        <v>0</v>
      </c>
      <c r="C26" s="98">
        <f ca="1">SUBTOTAL(9,C24:OFFSET(C26,-1,0))</f>
        <v>0</v>
      </c>
      <c r="D26" s="98">
        <f ca="1">SUBTOTAL(9,D24:OFFSET(D26,-1,0))</f>
        <v>0</v>
      </c>
      <c r="E26" s="98">
        <f ca="1">SUBTOTAL(9,E24:OFFSET(E26,-1,0))</f>
        <v>0</v>
      </c>
      <c r="F26" s="98">
        <f ca="1">SUBTOTAL(9,F24:OFFSET(F26,-1,0))</f>
        <v>0</v>
      </c>
      <c r="H26" s="104"/>
    </row>
    <row r="27" spans="1:8" x14ac:dyDescent="0.25">
      <c r="A27" s="139" t="str">
        <f>INDEX(categories[Expense Categories],5)</f>
        <v>Consumables</v>
      </c>
      <c r="B27" s="100"/>
      <c r="C27" s="101"/>
      <c r="D27" s="101"/>
      <c r="E27" s="101"/>
      <c r="F27" s="102"/>
      <c r="H27" s="104"/>
    </row>
    <row r="28" spans="1:8" x14ac:dyDescent="0.2">
      <c r="A28" s="140"/>
      <c r="B28" s="84"/>
      <c r="C28" s="84"/>
      <c r="D28" s="84"/>
      <c r="E28" s="84"/>
      <c r="F28" s="84"/>
      <c r="H28" s="104"/>
    </row>
    <row r="29" spans="1:8" x14ac:dyDescent="0.2">
      <c r="A29" s="140"/>
      <c r="B29" s="84"/>
      <c r="C29" s="84"/>
      <c r="D29" s="84"/>
      <c r="E29" s="84"/>
      <c r="F29" s="84"/>
      <c r="H29" s="104"/>
    </row>
    <row r="30" spans="1:8" x14ac:dyDescent="0.2">
      <c r="A30" s="140"/>
      <c r="B30" s="84"/>
      <c r="C30" s="84"/>
      <c r="D30" s="84"/>
      <c r="E30" s="84"/>
      <c r="F30" s="84"/>
      <c r="H30" s="104"/>
    </row>
    <row r="31" spans="1:8" x14ac:dyDescent="0.25">
      <c r="A31" s="141" t="str">
        <f>"Subtotal " &amp; A27</f>
        <v>Subtotal Consumables</v>
      </c>
      <c r="B31" s="98">
        <f ca="1">SUBTOTAL(9,B28:OFFSET(B31,-1,0))</f>
        <v>0</v>
      </c>
      <c r="C31" s="98">
        <f ca="1">SUBTOTAL(9,C28:OFFSET(C31,-1,0))</f>
        <v>0</v>
      </c>
      <c r="D31" s="98">
        <f ca="1">SUBTOTAL(9,D28:OFFSET(D31,-1,0))</f>
        <v>0</v>
      </c>
      <c r="E31" s="98">
        <f ca="1">SUBTOTAL(9,E28:OFFSET(E31,-1,0))</f>
        <v>0</v>
      </c>
      <c r="F31" s="98">
        <f ca="1">SUBTOTAL(9,F28:OFFSET(F31,-1,0))</f>
        <v>0</v>
      </c>
      <c r="H31" s="104"/>
    </row>
    <row r="32" spans="1:8" x14ac:dyDescent="0.25">
      <c r="A32" s="139" t="str">
        <f>INDEX(categories[Expense Categories],6)</f>
        <v>Other</v>
      </c>
      <c r="B32" s="100"/>
      <c r="C32" s="101"/>
      <c r="D32" s="101"/>
      <c r="E32" s="101"/>
      <c r="F32" s="102"/>
      <c r="H32" s="104"/>
    </row>
    <row r="33" spans="1:6" x14ac:dyDescent="0.2">
      <c r="A33" s="140"/>
      <c r="B33" s="84"/>
      <c r="C33" s="84"/>
      <c r="D33" s="84"/>
      <c r="E33" s="84"/>
      <c r="F33" s="84"/>
    </row>
    <row r="34" spans="1:6" x14ac:dyDescent="0.2">
      <c r="A34" s="140"/>
      <c r="B34" s="84"/>
      <c r="C34" s="84"/>
      <c r="D34" s="84"/>
      <c r="E34" s="84"/>
      <c r="F34" s="84"/>
    </row>
    <row r="35" spans="1:6" x14ac:dyDescent="0.2">
      <c r="A35" s="140"/>
      <c r="B35" s="84"/>
      <c r="C35" s="84"/>
      <c r="D35" s="84"/>
      <c r="E35" s="84"/>
      <c r="F35" s="84"/>
    </row>
    <row r="36" spans="1:6" x14ac:dyDescent="0.2">
      <c r="A36" s="140"/>
      <c r="B36" s="84"/>
      <c r="C36" s="84"/>
      <c r="D36" s="84"/>
      <c r="E36" s="84"/>
      <c r="F36" s="84"/>
    </row>
    <row r="37" spans="1:6" x14ac:dyDescent="0.2">
      <c r="A37" s="140"/>
      <c r="B37" s="84"/>
      <c r="C37" s="84"/>
      <c r="D37" s="84"/>
      <c r="E37" s="84"/>
      <c r="F37" s="84"/>
    </row>
    <row r="38" spans="1:6" x14ac:dyDescent="0.2">
      <c r="A38" s="140"/>
      <c r="B38" s="84"/>
      <c r="C38" s="84"/>
      <c r="D38" s="84"/>
      <c r="E38" s="84"/>
      <c r="F38" s="84"/>
    </row>
    <row r="39" spans="1:6" x14ac:dyDescent="0.25">
      <c r="A39" s="141" t="str">
        <f>"Subtotal " &amp; A32</f>
        <v>Subtotal Other</v>
      </c>
      <c r="B39" s="98">
        <f ca="1">SUBTOTAL(9,B33:OFFSET(B39,-1,0))</f>
        <v>0</v>
      </c>
      <c r="C39" s="98">
        <f ca="1">SUBTOTAL(9,C33:OFFSET(C39,-1,0))</f>
        <v>0</v>
      </c>
      <c r="D39" s="98">
        <f ca="1">SUBTOTAL(9,D33:OFFSET(D39,-1,0))</f>
        <v>0</v>
      </c>
      <c r="E39" s="98">
        <f ca="1">SUBTOTAL(9,E33:OFFSET(E39,-1,0))</f>
        <v>0</v>
      </c>
      <c r="F39" s="98">
        <f ca="1">SUBTOTAL(9,F33:OFFSET(F39,-1,0))</f>
        <v>0</v>
      </c>
    </row>
    <row r="40" spans="1:6" x14ac:dyDescent="0.25">
      <c r="A40" s="139" t="str">
        <f>INDEX(categories[Expense Categories],7)</f>
        <v>Stipends</v>
      </c>
      <c r="B40" s="100"/>
      <c r="C40" s="101"/>
      <c r="D40" s="101"/>
      <c r="E40" s="101"/>
      <c r="F40" s="102"/>
    </row>
    <row r="41" spans="1:6" x14ac:dyDescent="0.2">
      <c r="A41" s="140"/>
      <c r="B41" s="84"/>
      <c r="C41" s="84"/>
      <c r="D41" s="84"/>
      <c r="E41" s="84"/>
      <c r="F41" s="84"/>
    </row>
    <row r="42" spans="1:6" x14ac:dyDescent="0.2">
      <c r="A42" s="140"/>
      <c r="B42" s="84"/>
      <c r="C42" s="84"/>
      <c r="D42" s="84"/>
      <c r="E42" s="84"/>
      <c r="F42" s="84"/>
    </row>
    <row r="43" spans="1:6" x14ac:dyDescent="0.2">
      <c r="A43" s="140"/>
      <c r="B43" s="84"/>
      <c r="C43" s="84"/>
      <c r="D43" s="84"/>
      <c r="E43" s="84"/>
      <c r="F43" s="84"/>
    </row>
    <row r="44" spans="1:6" ht="12.75" customHeight="1" x14ac:dyDescent="0.25">
      <c r="A44" s="141" t="str">
        <f>"Subtotal " &amp; A40</f>
        <v>Subtotal Stipends</v>
      </c>
      <c r="B44" s="99">
        <f ca="1">SUBTOTAL(9,B41:OFFSET(B44,-1,0))</f>
        <v>0</v>
      </c>
      <c r="C44" s="99">
        <f ca="1">SUBTOTAL(9,C41:OFFSET(C44,-1,0))</f>
        <v>0</v>
      </c>
      <c r="D44" s="99">
        <f ca="1">SUBTOTAL(9,D41:OFFSET(D44,-1,0))</f>
        <v>0</v>
      </c>
      <c r="E44" s="99">
        <f ca="1">SUBTOTAL(9,E41:OFFSET(E44,-1,0))</f>
        <v>0</v>
      </c>
      <c r="F44" s="99">
        <f ca="1">SUBTOTAL(9,F41:OFFSET(F44,-1,0))</f>
        <v>0</v>
      </c>
    </row>
    <row r="45" spans="1:6" ht="12.75" customHeight="1" x14ac:dyDescent="0.25">
      <c r="A45" s="139" t="str">
        <f>INDEX(categories[Expense Categories],8)</f>
        <v>Co-financing of personnel</v>
      </c>
      <c r="B45" s="100"/>
      <c r="C45" s="100"/>
      <c r="D45" s="100"/>
      <c r="E45" s="100"/>
      <c r="F45" s="100"/>
    </row>
    <row r="46" spans="1:6" ht="12.75" customHeight="1" x14ac:dyDescent="0.2">
      <c r="A46" s="140"/>
      <c r="B46" s="140"/>
      <c r="C46" s="140"/>
      <c r="D46" s="140"/>
      <c r="E46" s="140"/>
      <c r="F46" s="140"/>
    </row>
    <row r="47" spans="1:6" ht="12.75" customHeight="1" x14ac:dyDescent="0.2">
      <c r="A47" s="140"/>
      <c r="B47" s="140"/>
      <c r="C47" s="140"/>
      <c r="D47" s="140"/>
      <c r="E47" s="140"/>
      <c r="F47" s="140"/>
    </row>
    <row r="48" spans="1:6" ht="12.75" customHeight="1" x14ac:dyDescent="0.2">
      <c r="A48" s="140"/>
      <c r="B48" s="140"/>
      <c r="C48" s="140"/>
      <c r="D48" s="140"/>
      <c r="E48" s="140"/>
      <c r="F48" s="140"/>
    </row>
    <row r="49" spans="1:6" ht="12.75" customHeight="1" x14ac:dyDescent="0.25">
      <c r="A49" s="141" t="str">
        <f>"Subtotal " &amp; A45</f>
        <v>Subtotal Co-financing of personnel</v>
      </c>
      <c r="B49" s="99">
        <f ca="1">SUBTOTAL(9,B46:OFFSET(B49,-1,0))</f>
        <v>0</v>
      </c>
      <c r="C49" s="99">
        <f ca="1">SUBTOTAL(9,C46:OFFSET(C49,-1,0))</f>
        <v>0</v>
      </c>
      <c r="D49" s="99">
        <f ca="1">SUBTOTAL(9,D46:OFFSET(D49,-1,0))</f>
        <v>0</v>
      </c>
      <c r="E49" s="99">
        <f ca="1">SUBTOTAL(9,E46:OFFSET(E49,-1,0))</f>
        <v>0</v>
      </c>
      <c r="F49" s="99">
        <f ca="1">SUBTOTAL(9,F46:OFFSET(F49,-1,0))</f>
        <v>0</v>
      </c>
    </row>
    <row r="50" spans="1:6" ht="12.75" customHeight="1" x14ac:dyDescent="0.2">
      <c r="A50" s="178"/>
      <c r="B50" s="103"/>
      <c r="C50" s="103"/>
      <c r="D50" s="103"/>
      <c r="E50" s="103"/>
      <c r="F50" s="103"/>
    </row>
    <row r="51" spans="1:6" x14ac:dyDescent="0.25">
      <c r="A51" s="141" t="s">
        <v>459</v>
      </c>
      <c r="B51" s="99">
        <f ca="1">SUBTOTAL(9,B8:B49)</f>
        <v>0</v>
      </c>
      <c r="C51" s="99">
        <f ca="1">SUBTOTAL(9,C8:C49)</f>
        <v>0</v>
      </c>
      <c r="D51" s="99">
        <f ca="1">SUBTOTAL(9,D8:D49)</f>
        <v>0</v>
      </c>
      <c r="E51" s="99">
        <f ca="1">SUBTOTAL(9,E8:E49)</f>
        <v>0</v>
      </c>
      <c r="F51" s="99">
        <f ca="1">SUBTOTAL(9,F8:F49)</f>
        <v>0</v>
      </c>
    </row>
    <row r="52" spans="1:6" ht="38.25" x14ac:dyDescent="0.25">
      <c r="A52" s="143"/>
      <c r="B52" s="89"/>
      <c r="C52" s="89"/>
      <c r="D52" s="90" t="s">
        <v>460</v>
      </c>
      <c r="E52" s="90"/>
      <c r="F52" s="91">
        <f ca="1">SUM(B51:F51)</f>
        <v>0</v>
      </c>
    </row>
    <row r="54" spans="1:6" ht="18" x14ac:dyDescent="0.25">
      <c r="A54" s="128" t="str">
        <f>"SPS " &amp; spsRefNo &amp; ": " &amp; projectTitle</f>
        <v xml:space="preserve">SPS : </v>
      </c>
      <c r="B54" s="128"/>
      <c r="C54" s="129" t="s">
        <v>461</v>
      </c>
      <c r="D54" s="129"/>
      <c r="E54" s="129"/>
      <c r="F54" s="92" t="s">
        <v>463</v>
      </c>
    </row>
    <row r="55" spans="1:6" ht="25.5" x14ac:dyDescent="0.25">
      <c r="A55" s="93" t="str">
        <f>F54 &amp; " name"</f>
        <v>PPD name</v>
      </c>
      <c r="B55" s="130" t="s">
        <v>307</v>
      </c>
      <c r="C55" s="130"/>
      <c r="D55" s="130" t="s">
        <v>308</v>
      </c>
      <c r="E55" s="130"/>
      <c r="F55" s="93" t="s">
        <v>450</v>
      </c>
    </row>
    <row r="56" spans="1:6" x14ac:dyDescent="0.2">
      <c r="A56" s="136" t="str">
        <f>INDEX(directors[First],MATCH(F54,directors[Role],0)) &amp; " " &amp; INDEX(directors[Last],MATCH(F54,directors[Role],0))</f>
        <v xml:space="preserve"> </v>
      </c>
      <c r="B56" s="131">
        <f>INDEX(directors[Institution],MATCH(F54,directors[Role],0))</f>
        <v>0</v>
      </c>
      <c r="C56" s="131"/>
      <c r="D56" s="131">
        <f>INDEX(directors[Country],MATCH(F54,directors[Role],0))</f>
        <v>0</v>
      </c>
      <c r="E56" s="131"/>
      <c r="F56" s="94">
        <f>projectDuration</f>
        <v>0</v>
      </c>
    </row>
    <row r="57" spans="1:6" ht="15" x14ac:dyDescent="0.25">
      <c r="A57" s="137"/>
      <c r="B57" s="79"/>
      <c r="C57" s="79"/>
      <c r="D57" s="79"/>
      <c r="E57" s="79"/>
      <c r="F57" s="79"/>
    </row>
    <row r="58" spans="1:6" x14ac:dyDescent="0.25">
      <c r="A58" s="138" t="s">
        <v>453</v>
      </c>
      <c r="B58" s="95">
        <f>INDEX(milestoneDates[Expected Date (months post Kickoff)],MATCH(B59,milestoneDates[Milestone],0))</f>
        <v>6</v>
      </c>
      <c r="C58" s="95">
        <f>INDEX(milestoneDates[Expected Date (months post Kickoff)],MATCH(C59,milestoneDates[Milestone],0))</f>
        <v>0</v>
      </c>
      <c r="D58" s="95">
        <f>INDEX(milestoneDates[Expected Date (months post Kickoff)],MATCH(D59,milestoneDates[Milestone],0))</f>
        <v>0</v>
      </c>
      <c r="E58" s="95">
        <f>INDEX(milestoneDates[Expected Date (months post Kickoff)],MATCH(E59,milestoneDates[Milestone],0))</f>
        <v>0</v>
      </c>
      <c r="F58" s="95">
        <f>INDEX(milestoneDates[Expected Date (months post Kickoff)],MATCH(F59,milestoneDates[Milestone],0))</f>
        <v>0</v>
      </c>
    </row>
    <row r="59" spans="1:6" ht="25.5" x14ac:dyDescent="0.25">
      <c r="A59" s="96" t="s">
        <v>395</v>
      </c>
      <c r="B59" s="97" t="s">
        <v>407</v>
      </c>
      <c r="C59" s="97" t="s">
        <v>408</v>
      </c>
      <c r="D59" s="97" t="s">
        <v>409</v>
      </c>
      <c r="E59" s="97" t="s">
        <v>485</v>
      </c>
      <c r="F59" s="97" t="s">
        <v>410</v>
      </c>
    </row>
    <row r="60" spans="1:6" x14ac:dyDescent="0.25">
      <c r="A60" s="139" t="str">
        <f>INDEX(categories[Expense Categories],1)</f>
        <v>Equipment</v>
      </c>
      <c r="B60" s="100" t="s">
        <v>454</v>
      </c>
      <c r="C60" s="101"/>
      <c r="D60" s="101"/>
      <c r="E60" s="101"/>
      <c r="F60" s="102"/>
    </row>
    <row r="61" spans="1:6" x14ac:dyDescent="0.2">
      <c r="A61" s="140"/>
      <c r="B61" s="84"/>
      <c r="C61" s="84"/>
      <c r="D61" s="84"/>
      <c r="E61" s="84"/>
      <c r="F61" s="84"/>
    </row>
    <row r="62" spans="1:6" x14ac:dyDescent="0.2">
      <c r="A62" s="140"/>
      <c r="B62" s="84"/>
      <c r="C62" s="84"/>
      <c r="D62" s="84"/>
      <c r="E62" s="84"/>
      <c r="F62" s="84"/>
    </row>
    <row r="63" spans="1:6" x14ac:dyDescent="0.2">
      <c r="A63" s="140"/>
      <c r="B63" s="84"/>
      <c r="C63" s="84"/>
      <c r="D63" s="84"/>
      <c r="E63" s="84"/>
      <c r="F63" s="84"/>
    </row>
    <row r="64" spans="1:6" x14ac:dyDescent="0.2">
      <c r="A64" s="140"/>
      <c r="B64" s="84"/>
      <c r="C64" s="84"/>
      <c r="D64" s="84"/>
      <c r="E64" s="84"/>
      <c r="F64" s="84"/>
    </row>
    <row r="65" spans="1:6" x14ac:dyDescent="0.2">
      <c r="A65" s="140"/>
      <c r="B65" s="84"/>
      <c r="C65" s="84"/>
      <c r="D65" s="84"/>
      <c r="E65" s="84"/>
      <c r="F65" s="84"/>
    </row>
    <row r="66" spans="1:6" x14ac:dyDescent="0.25">
      <c r="A66" s="141" t="str">
        <f>"Subtotal " &amp; A60</f>
        <v>Subtotal Equipment</v>
      </c>
      <c r="B66" s="98">
        <f ca="1">SUBTOTAL(9,B61:OFFSET(B66,-1,0))</f>
        <v>0</v>
      </c>
      <c r="C66" s="98">
        <f ca="1">SUBTOTAL(9,C61:OFFSET(C66,-1,0))</f>
        <v>0</v>
      </c>
      <c r="D66" s="98">
        <f ca="1">SUBTOTAL(9,D61:OFFSET(D66,-1,0))</f>
        <v>0</v>
      </c>
      <c r="E66" s="98">
        <f ca="1">SUBTOTAL(9,E61:OFFSET(E66,-1,0))</f>
        <v>0</v>
      </c>
      <c r="F66" s="98">
        <f ca="1">SUBTOTAL(9,F61:OFFSET(F66,-1,0))</f>
        <v>0</v>
      </c>
    </row>
    <row r="67" spans="1:6" x14ac:dyDescent="0.25">
      <c r="A67" s="139" t="str">
        <f>INDEX(categories[Expense Categories],2)</f>
        <v>Training</v>
      </c>
      <c r="B67" s="100" t="s">
        <v>455</v>
      </c>
      <c r="C67" s="101"/>
      <c r="D67" s="101"/>
      <c r="E67" s="101"/>
      <c r="F67" s="102"/>
    </row>
    <row r="68" spans="1:6" x14ac:dyDescent="0.2">
      <c r="A68" s="140"/>
      <c r="B68" s="84"/>
      <c r="C68" s="84"/>
      <c r="D68" s="84"/>
      <c r="E68" s="84"/>
      <c r="F68" s="84"/>
    </row>
    <row r="69" spans="1:6" x14ac:dyDescent="0.2">
      <c r="A69" s="140"/>
      <c r="B69" s="84"/>
      <c r="C69" s="84"/>
      <c r="D69" s="84"/>
      <c r="E69" s="84"/>
      <c r="F69" s="84"/>
    </row>
    <row r="70" spans="1:6" x14ac:dyDescent="0.25">
      <c r="A70" s="141" t="str">
        <f>"Subtotal " &amp; A67</f>
        <v>Subtotal Training</v>
      </c>
      <c r="B70" s="98">
        <f ca="1">SUBTOTAL(9,B68:OFFSET(B70,-1,0))</f>
        <v>0</v>
      </c>
      <c r="C70" s="98">
        <f ca="1">SUBTOTAL(9,C68:OFFSET(C70,-1,0))</f>
        <v>0</v>
      </c>
      <c r="D70" s="98">
        <f ca="1">SUBTOTAL(9,D68:OFFSET(D70,-1,0))</f>
        <v>0</v>
      </c>
      <c r="E70" s="98">
        <f ca="1">SUBTOTAL(9,E68:OFFSET(E70,-1,0))</f>
        <v>0</v>
      </c>
      <c r="F70" s="98">
        <f ca="1">SUBTOTAL(9,F68:OFFSET(F70,-1,0))</f>
        <v>0</v>
      </c>
    </row>
    <row r="71" spans="1:6" x14ac:dyDescent="0.25">
      <c r="A71" s="139" t="str">
        <f>INDEX(categories[Expense Categories],3)</f>
        <v>Communication &amp; Publication</v>
      </c>
      <c r="B71" s="100"/>
      <c r="C71" s="101"/>
      <c r="D71" s="101"/>
      <c r="E71" s="101"/>
      <c r="F71" s="102"/>
    </row>
    <row r="72" spans="1:6" x14ac:dyDescent="0.2">
      <c r="A72" s="142" t="s">
        <v>456</v>
      </c>
      <c r="B72" s="84"/>
      <c r="C72" s="84"/>
      <c r="D72" s="84"/>
      <c r="E72" s="84"/>
      <c r="F72" s="84"/>
    </row>
    <row r="73" spans="1:6" x14ac:dyDescent="0.2">
      <c r="A73" s="142" t="s">
        <v>457</v>
      </c>
      <c r="B73" s="84"/>
      <c r="C73" s="84"/>
      <c r="D73" s="84"/>
      <c r="E73" s="84"/>
      <c r="F73" s="84"/>
    </row>
    <row r="74" spans="1:6" x14ac:dyDescent="0.2">
      <c r="A74" s="142" t="s">
        <v>458</v>
      </c>
      <c r="B74" s="84"/>
      <c r="C74" s="84"/>
      <c r="D74" s="84"/>
      <c r="E74" s="84"/>
      <c r="F74" s="84"/>
    </row>
    <row r="75" spans="1:6" x14ac:dyDescent="0.25">
      <c r="A75" s="141" t="str">
        <f>"Subtotal " &amp; A71</f>
        <v>Subtotal Communication &amp; Publication</v>
      </c>
      <c r="B75" s="98">
        <f ca="1">SUBTOTAL(9,B72:OFFSET(B75,-1,0))</f>
        <v>0</v>
      </c>
      <c r="C75" s="98">
        <f ca="1">SUBTOTAL(9,C72:OFFSET(C75,-1,0))</f>
        <v>0</v>
      </c>
      <c r="D75" s="98">
        <f ca="1">SUBTOTAL(9,D72:OFFSET(D75,-1,0))</f>
        <v>0</v>
      </c>
      <c r="E75" s="98">
        <f ca="1">SUBTOTAL(9,E72:OFFSET(E75,-1,0))</f>
        <v>0</v>
      </c>
      <c r="F75" s="98">
        <f ca="1">SUBTOTAL(9,F72:OFFSET(F75,-1,0))</f>
        <v>0</v>
      </c>
    </row>
    <row r="76" spans="1:6" x14ac:dyDescent="0.25">
      <c r="A76" s="139" t="str">
        <f>INDEX(categories[Expense Categories],4)</f>
        <v>Travel</v>
      </c>
      <c r="B76" s="100"/>
      <c r="C76" s="101"/>
      <c r="D76" s="101"/>
      <c r="E76" s="101"/>
      <c r="F76" s="102"/>
    </row>
    <row r="77" spans="1:6" x14ac:dyDescent="0.2">
      <c r="A77" s="140"/>
      <c r="B77" s="84"/>
      <c r="C77" s="84"/>
      <c r="D77" s="84"/>
      <c r="E77" s="84"/>
      <c r="F77" s="84"/>
    </row>
    <row r="78" spans="1:6" x14ac:dyDescent="0.2">
      <c r="A78" s="140"/>
      <c r="B78" s="84"/>
      <c r="C78" s="84"/>
      <c r="D78" s="84"/>
      <c r="E78" s="84"/>
      <c r="F78" s="84"/>
    </row>
    <row r="79" spans="1:6" x14ac:dyDescent="0.25">
      <c r="A79" s="141" t="str">
        <f>"Subtotal " &amp; A76</f>
        <v>Subtotal Travel</v>
      </c>
      <c r="B79" s="98">
        <f ca="1">SUBTOTAL(9,B77:OFFSET(B79,-1,0))</f>
        <v>0</v>
      </c>
      <c r="C79" s="98">
        <f ca="1">SUBTOTAL(9,C77:OFFSET(C79,-1,0))</f>
        <v>0</v>
      </c>
      <c r="D79" s="98">
        <f ca="1">SUBTOTAL(9,D77:OFFSET(D79,-1,0))</f>
        <v>0</v>
      </c>
      <c r="E79" s="98">
        <f ca="1">SUBTOTAL(9,E77:OFFSET(E79,-1,0))</f>
        <v>0</v>
      </c>
      <c r="F79" s="98">
        <f ca="1">SUBTOTAL(9,F77:OFFSET(F79,-1,0))</f>
        <v>0</v>
      </c>
    </row>
    <row r="80" spans="1:6" x14ac:dyDescent="0.25">
      <c r="A80" s="139" t="str">
        <f>INDEX(categories[Expense Categories],5)</f>
        <v>Consumables</v>
      </c>
      <c r="B80" s="100"/>
      <c r="C80" s="101"/>
      <c r="D80" s="101"/>
      <c r="E80" s="101"/>
      <c r="F80" s="102"/>
    </row>
    <row r="81" spans="1:6" x14ac:dyDescent="0.2">
      <c r="A81" s="140"/>
      <c r="B81" s="84"/>
      <c r="C81" s="84"/>
      <c r="D81" s="84"/>
      <c r="E81" s="84"/>
      <c r="F81" s="84"/>
    </row>
    <row r="82" spans="1:6" x14ac:dyDescent="0.2">
      <c r="A82" s="140"/>
      <c r="B82" s="84"/>
      <c r="C82" s="84"/>
      <c r="D82" s="84"/>
      <c r="E82" s="84"/>
      <c r="F82" s="84"/>
    </row>
    <row r="83" spans="1:6" x14ac:dyDescent="0.2">
      <c r="A83" s="140"/>
      <c r="B83" s="84"/>
      <c r="C83" s="84"/>
      <c r="D83" s="84"/>
      <c r="E83" s="84"/>
      <c r="F83" s="84"/>
    </row>
    <row r="84" spans="1:6" x14ac:dyDescent="0.25">
      <c r="A84" s="141" t="str">
        <f>"Subtotal " &amp; A80</f>
        <v>Subtotal Consumables</v>
      </c>
      <c r="B84" s="98">
        <f ca="1">SUBTOTAL(9,B81:OFFSET(B84,-1,0))</f>
        <v>0</v>
      </c>
      <c r="C84" s="98">
        <f ca="1">SUBTOTAL(9,C81:OFFSET(C84,-1,0))</f>
        <v>0</v>
      </c>
      <c r="D84" s="98">
        <f ca="1">SUBTOTAL(9,D81:OFFSET(D84,-1,0))</f>
        <v>0</v>
      </c>
      <c r="E84" s="98">
        <f ca="1">SUBTOTAL(9,E81:OFFSET(E84,-1,0))</f>
        <v>0</v>
      </c>
      <c r="F84" s="98">
        <f ca="1">SUBTOTAL(9,F81:OFFSET(F84,-1,0))</f>
        <v>0</v>
      </c>
    </row>
    <row r="85" spans="1:6" x14ac:dyDescent="0.25">
      <c r="A85" s="139" t="str">
        <f>INDEX(categories[Expense Categories],6)</f>
        <v>Other</v>
      </c>
      <c r="B85" s="100"/>
      <c r="C85" s="101"/>
      <c r="D85" s="101"/>
      <c r="E85" s="101"/>
      <c r="F85" s="102"/>
    </row>
    <row r="86" spans="1:6" x14ac:dyDescent="0.2">
      <c r="A86" s="140"/>
      <c r="B86" s="84"/>
      <c r="C86" s="84"/>
      <c r="D86" s="84"/>
      <c r="E86" s="84"/>
      <c r="F86" s="84"/>
    </row>
    <row r="87" spans="1:6" x14ac:dyDescent="0.2">
      <c r="A87" s="140"/>
      <c r="B87" s="84"/>
      <c r="C87" s="84"/>
      <c r="D87" s="84"/>
      <c r="E87" s="84"/>
      <c r="F87" s="84"/>
    </row>
    <row r="88" spans="1:6" x14ac:dyDescent="0.2">
      <c r="A88" s="140"/>
      <c r="B88" s="84"/>
      <c r="C88" s="84"/>
      <c r="D88" s="84"/>
      <c r="E88" s="84"/>
      <c r="F88" s="84"/>
    </row>
    <row r="89" spans="1:6" x14ac:dyDescent="0.2">
      <c r="A89" s="140"/>
      <c r="B89" s="84"/>
      <c r="C89" s="84"/>
      <c r="D89" s="84"/>
      <c r="E89" s="84"/>
      <c r="F89" s="84"/>
    </row>
    <row r="90" spans="1:6" x14ac:dyDescent="0.2">
      <c r="A90" s="140"/>
      <c r="B90" s="84"/>
      <c r="C90" s="84"/>
      <c r="D90" s="84"/>
      <c r="E90" s="84"/>
      <c r="F90" s="84"/>
    </row>
    <row r="91" spans="1:6" x14ac:dyDescent="0.2">
      <c r="A91" s="140"/>
      <c r="B91" s="84"/>
      <c r="C91" s="84"/>
      <c r="D91" s="84"/>
      <c r="E91" s="84"/>
      <c r="F91" s="84"/>
    </row>
    <row r="92" spans="1:6" x14ac:dyDescent="0.25">
      <c r="A92" s="141" t="str">
        <f>"Subtotal " &amp; A85</f>
        <v>Subtotal Other</v>
      </c>
      <c r="B92" s="98">
        <f ca="1">SUBTOTAL(9,B86:OFFSET(B92,-1,0))</f>
        <v>0</v>
      </c>
      <c r="C92" s="98">
        <f ca="1">SUBTOTAL(9,C86:OFFSET(C92,-1,0))</f>
        <v>0</v>
      </c>
      <c r="D92" s="98">
        <f ca="1">SUBTOTAL(9,D86:OFFSET(D92,-1,0))</f>
        <v>0</v>
      </c>
      <c r="E92" s="98">
        <f ca="1">SUBTOTAL(9,E86:OFFSET(E92,-1,0))</f>
        <v>0</v>
      </c>
      <c r="F92" s="98">
        <f ca="1">SUBTOTAL(9,F86:OFFSET(F92,-1,0))</f>
        <v>0</v>
      </c>
    </row>
    <row r="93" spans="1:6" x14ac:dyDescent="0.25">
      <c r="A93" s="139" t="str">
        <f>INDEX(categories[Expense Categories],7)</f>
        <v>Stipends</v>
      </c>
      <c r="B93" s="100"/>
      <c r="C93" s="101"/>
      <c r="D93" s="101"/>
      <c r="E93" s="101"/>
      <c r="F93" s="102"/>
    </row>
    <row r="94" spans="1:6" x14ac:dyDescent="0.2">
      <c r="A94" s="140"/>
      <c r="B94" s="84"/>
      <c r="C94" s="84"/>
      <c r="D94" s="84"/>
      <c r="E94" s="84"/>
      <c r="F94" s="84"/>
    </row>
    <row r="95" spans="1:6" x14ac:dyDescent="0.2">
      <c r="A95" s="140"/>
      <c r="B95" s="84"/>
      <c r="C95" s="84"/>
      <c r="D95" s="84"/>
      <c r="E95" s="84"/>
      <c r="F95" s="84"/>
    </row>
    <row r="96" spans="1:6" x14ac:dyDescent="0.2">
      <c r="A96" s="140"/>
      <c r="B96" s="84"/>
      <c r="C96" s="84"/>
      <c r="D96" s="84"/>
      <c r="E96" s="84"/>
      <c r="F96" s="84"/>
    </row>
    <row r="97" spans="1:6" x14ac:dyDescent="0.25">
      <c r="A97" s="141" t="str">
        <f>"Subtotal " &amp; A93</f>
        <v>Subtotal Stipends</v>
      </c>
      <c r="B97" s="99">
        <f ca="1">SUBTOTAL(9,B94:OFFSET(B97,-1,0))</f>
        <v>0</v>
      </c>
      <c r="C97" s="99">
        <f ca="1">SUBTOTAL(9,C94:OFFSET(C97,-1,0))</f>
        <v>0</v>
      </c>
      <c r="D97" s="99">
        <f ca="1">SUBTOTAL(9,D94:OFFSET(D97,-1,0))</f>
        <v>0</v>
      </c>
      <c r="E97" s="99">
        <f ca="1">SUBTOTAL(9,E94:OFFSET(E97,-1,0))</f>
        <v>0</v>
      </c>
      <c r="F97" s="99">
        <f ca="1">SUBTOTAL(9,F94:OFFSET(F97,-1,0))</f>
        <v>0</v>
      </c>
    </row>
    <row r="98" spans="1:6" x14ac:dyDescent="0.25">
      <c r="A98" s="139" t="str">
        <f>INDEX(categories[Expense Categories],8)</f>
        <v>Co-financing of personnel</v>
      </c>
      <c r="B98" s="100"/>
      <c r="C98" s="100"/>
      <c r="D98" s="100"/>
      <c r="E98" s="100"/>
      <c r="F98" s="100"/>
    </row>
    <row r="99" spans="1:6" x14ac:dyDescent="0.2">
      <c r="A99" s="140"/>
      <c r="B99" s="140"/>
      <c r="C99" s="140"/>
      <c r="D99" s="140"/>
      <c r="E99" s="140"/>
      <c r="F99" s="140"/>
    </row>
    <row r="100" spans="1:6" x14ac:dyDescent="0.2">
      <c r="A100" s="140"/>
      <c r="B100" s="140"/>
      <c r="C100" s="140"/>
      <c r="D100" s="140"/>
      <c r="E100" s="140"/>
      <c r="F100" s="140"/>
    </row>
    <row r="101" spans="1:6" x14ac:dyDescent="0.2">
      <c r="A101" s="140"/>
      <c r="B101" s="140"/>
      <c r="C101" s="140"/>
      <c r="D101" s="140"/>
      <c r="E101" s="140"/>
      <c r="F101" s="140"/>
    </row>
    <row r="102" spans="1:6" x14ac:dyDescent="0.25">
      <c r="A102" s="141" t="str">
        <f>"Subtotal " &amp; A98</f>
        <v>Subtotal Co-financing of personnel</v>
      </c>
      <c r="B102" s="99">
        <f ca="1">SUBTOTAL(9,B99:OFFSET(B102,-1,0))</f>
        <v>0</v>
      </c>
      <c r="C102" s="99">
        <f ca="1">SUBTOTAL(9,C99:OFFSET(C102,-1,0))</f>
        <v>0</v>
      </c>
      <c r="D102" s="99">
        <f ca="1">SUBTOTAL(9,D99:OFFSET(D102,-1,0))</f>
        <v>0</v>
      </c>
      <c r="E102" s="99">
        <f ca="1">SUBTOTAL(9,E99:OFFSET(E102,-1,0))</f>
        <v>0</v>
      </c>
      <c r="F102" s="99">
        <f ca="1">SUBTOTAL(9,F99:OFFSET(F102,-1,0))</f>
        <v>0</v>
      </c>
    </row>
    <row r="103" spans="1:6" x14ac:dyDescent="0.2">
      <c r="A103" s="178"/>
      <c r="B103" s="103"/>
      <c r="C103" s="103"/>
      <c r="D103" s="103"/>
      <c r="E103" s="103"/>
      <c r="F103" s="103"/>
    </row>
    <row r="104" spans="1:6" x14ac:dyDescent="0.25">
      <c r="A104" s="141" t="s">
        <v>459</v>
      </c>
      <c r="B104" s="99">
        <f ca="1">SUBTOTAL(9,B61:B102)</f>
        <v>0</v>
      </c>
      <c r="C104" s="99">
        <f t="shared" ref="C104:F104" ca="1" si="0">SUBTOTAL(9,C61:C102)</f>
        <v>0</v>
      </c>
      <c r="D104" s="99">
        <f t="shared" ca="1" si="0"/>
        <v>0</v>
      </c>
      <c r="E104" s="99">
        <f t="shared" ca="1" si="0"/>
        <v>0</v>
      </c>
      <c r="F104" s="99">
        <f t="shared" ca="1" si="0"/>
        <v>0</v>
      </c>
    </row>
    <row r="105" spans="1:6" ht="38.25" x14ac:dyDescent="0.25">
      <c r="A105" s="143"/>
      <c r="B105" s="89"/>
      <c r="C105" s="89"/>
      <c r="D105" s="90" t="s">
        <v>460</v>
      </c>
      <c r="E105" s="90"/>
      <c r="F105" s="91">
        <f ca="1">SUM(B104:F104)</f>
        <v>0</v>
      </c>
    </row>
    <row r="107" spans="1:6" ht="18" x14ac:dyDescent="0.25">
      <c r="A107" s="128" t="str">
        <f>"SPS " &amp; spsRefNo &amp; ": " &amp; projectTitle</f>
        <v xml:space="preserve">SPS : </v>
      </c>
      <c r="B107" s="128"/>
      <c r="C107" s="129" t="s">
        <v>461</v>
      </c>
      <c r="D107" s="129"/>
      <c r="E107" s="129"/>
      <c r="F107" s="92" t="s">
        <v>464</v>
      </c>
    </row>
    <row r="108" spans="1:6" ht="25.5" x14ac:dyDescent="0.25">
      <c r="A108" s="93" t="str">
        <f>F107 &amp; " name"</f>
        <v>CoA name</v>
      </c>
      <c r="B108" s="130" t="s">
        <v>307</v>
      </c>
      <c r="C108" s="130"/>
      <c r="D108" s="130" t="s">
        <v>308</v>
      </c>
      <c r="E108" s="130"/>
      <c r="F108" s="93" t="s">
        <v>450</v>
      </c>
    </row>
    <row r="109" spans="1:6" x14ac:dyDescent="0.2">
      <c r="A109" s="136" t="str">
        <f>INDEX(directors[First],MATCH(F107,directors[Role],0)) &amp; " " &amp; INDEX(directors[Last],MATCH(F107,directors[Role],0))</f>
        <v xml:space="preserve"> </v>
      </c>
      <c r="B109" s="131">
        <f>INDEX(directors[Institution],MATCH(F107,directors[Role],0))</f>
        <v>0</v>
      </c>
      <c r="C109" s="131"/>
      <c r="D109" s="131">
        <f>INDEX(directors[Country],MATCH(F107,directors[Role],0))</f>
        <v>0</v>
      </c>
      <c r="E109" s="131"/>
      <c r="F109" s="94">
        <f>projectDuration</f>
        <v>0</v>
      </c>
    </row>
    <row r="110" spans="1:6" ht="15" x14ac:dyDescent="0.25">
      <c r="A110" s="137"/>
      <c r="B110" s="79"/>
      <c r="C110" s="79"/>
      <c r="D110" s="79"/>
      <c r="E110" s="79"/>
      <c r="F110" s="79"/>
    </row>
    <row r="111" spans="1:6" x14ac:dyDescent="0.25">
      <c r="A111" s="138" t="s">
        <v>453</v>
      </c>
      <c r="B111" s="95">
        <f>INDEX(milestoneDates[Expected Date (months post Kickoff)],MATCH(B112,milestoneDates[Milestone],0))</f>
        <v>6</v>
      </c>
      <c r="C111" s="95">
        <f>INDEX(milestoneDates[Expected Date (months post Kickoff)],MATCH(C112,milestoneDates[Milestone],0))</f>
        <v>0</v>
      </c>
      <c r="D111" s="95">
        <f>INDEX(milestoneDates[Expected Date (months post Kickoff)],MATCH(D112,milestoneDates[Milestone],0))</f>
        <v>0</v>
      </c>
      <c r="E111" s="95">
        <f>INDEX(milestoneDates[Expected Date (months post Kickoff)],MATCH(E112,milestoneDates[Milestone],0))</f>
        <v>0</v>
      </c>
      <c r="F111" s="95">
        <f>INDEX(milestoneDates[Expected Date (months post Kickoff)],MATCH(F112,milestoneDates[Milestone],0))</f>
        <v>0</v>
      </c>
    </row>
    <row r="112" spans="1:6" ht="25.5" x14ac:dyDescent="0.25">
      <c r="A112" s="96" t="s">
        <v>395</v>
      </c>
      <c r="B112" s="97" t="s">
        <v>407</v>
      </c>
      <c r="C112" s="97" t="s">
        <v>408</v>
      </c>
      <c r="D112" s="97" t="s">
        <v>409</v>
      </c>
      <c r="E112" s="97" t="s">
        <v>485</v>
      </c>
      <c r="F112" s="97" t="s">
        <v>410</v>
      </c>
    </row>
    <row r="113" spans="1:6" x14ac:dyDescent="0.25">
      <c r="A113" s="139" t="str">
        <f>INDEX(categories[Expense Categories],1)</f>
        <v>Equipment</v>
      </c>
      <c r="B113" s="100" t="s">
        <v>454</v>
      </c>
      <c r="C113" s="101"/>
      <c r="D113" s="101"/>
      <c r="E113" s="101"/>
      <c r="F113" s="102"/>
    </row>
    <row r="114" spans="1:6" x14ac:dyDescent="0.2">
      <c r="A114" s="140"/>
      <c r="B114" s="84"/>
      <c r="C114" s="84"/>
      <c r="D114" s="84"/>
      <c r="E114" s="84"/>
      <c r="F114" s="84"/>
    </row>
    <row r="115" spans="1:6" x14ac:dyDescent="0.2">
      <c r="A115" s="140"/>
      <c r="B115" s="84"/>
      <c r="C115" s="84"/>
      <c r="D115" s="84"/>
      <c r="E115" s="84"/>
      <c r="F115" s="84"/>
    </row>
    <row r="116" spans="1:6" x14ac:dyDescent="0.2">
      <c r="A116" s="140"/>
      <c r="B116" s="84"/>
      <c r="C116" s="84"/>
      <c r="D116" s="84"/>
      <c r="E116" s="84"/>
      <c r="F116" s="84"/>
    </row>
    <row r="117" spans="1:6" x14ac:dyDescent="0.2">
      <c r="A117" s="140"/>
      <c r="B117" s="84"/>
      <c r="C117" s="84"/>
      <c r="D117" s="84"/>
      <c r="E117" s="84"/>
      <c r="F117" s="84"/>
    </row>
    <row r="118" spans="1:6" x14ac:dyDescent="0.2">
      <c r="A118" s="140"/>
      <c r="B118" s="84"/>
      <c r="C118" s="84"/>
      <c r="D118" s="84"/>
      <c r="E118" s="84"/>
      <c r="F118" s="84"/>
    </row>
    <row r="119" spans="1:6" x14ac:dyDescent="0.25">
      <c r="A119" s="141" t="str">
        <f>"Subtotal " &amp; A113</f>
        <v>Subtotal Equipment</v>
      </c>
      <c r="B119" s="98">
        <f ca="1">SUBTOTAL(9,B114:OFFSET(B119,-1,0))</f>
        <v>0</v>
      </c>
      <c r="C119" s="98">
        <f ca="1">SUBTOTAL(9,C114:OFFSET(C119,-1,0))</f>
        <v>0</v>
      </c>
      <c r="D119" s="98">
        <f ca="1">SUBTOTAL(9,D114:OFFSET(D119,-1,0))</f>
        <v>0</v>
      </c>
      <c r="E119" s="98">
        <f ca="1">SUBTOTAL(9,E114:OFFSET(E119,-1,0))</f>
        <v>0</v>
      </c>
      <c r="F119" s="98">
        <f ca="1">SUBTOTAL(9,F114:OFFSET(F119,-1,0))</f>
        <v>0</v>
      </c>
    </row>
    <row r="120" spans="1:6" x14ac:dyDescent="0.25">
      <c r="A120" s="139" t="str">
        <f>INDEX(categories[Expense Categories],2)</f>
        <v>Training</v>
      </c>
      <c r="B120" s="100" t="s">
        <v>455</v>
      </c>
      <c r="C120" s="101"/>
      <c r="D120" s="101"/>
      <c r="E120" s="101"/>
      <c r="F120" s="102"/>
    </row>
    <row r="121" spans="1:6" x14ac:dyDescent="0.2">
      <c r="A121" s="140"/>
      <c r="B121" s="84"/>
      <c r="C121" s="84"/>
      <c r="D121" s="84"/>
      <c r="E121" s="84"/>
      <c r="F121" s="84"/>
    </row>
    <row r="122" spans="1:6" x14ac:dyDescent="0.2">
      <c r="A122" s="140"/>
      <c r="B122" s="84"/>
      <c r="C122" s="84"/>
      <c r="D122" s="84"/>
      <c r="E122" s="84"/>
      <c r="F122" s="84"/>
    </row>
    <row r="123" spans="1:6" x14ac:dyDescent="0.25">
      <c r="A123" s="141" t="str">
        <f>"Subtotal " &amp; A120</f>
        <v>Subtotal Training</v>
      </c>
      <c r="B123" s="98">
        <f ca="1">SUBTOTAL(9,B121:OFFSET(B123,-1,0))</f>
        <v>0</v>
      </c>
      <c r="C123" s="98">
        <f ca="1">SUBTOTAL(9,C121:OFFSET(C123,-1,0))</f>
        <v>0</v>
      </c>
      <c r="D123" s="98">
        <f ca="1">SUBTOTAL(9,D121:OFFSET(D123,-1,0))</f>
        <v>0</v>
      </c>
      <c r="E123" s="98">
        <f ca="1">SUBTOTAL(9,E121:OFFSET(E123,-1,0))</f>
        <v>0</v>
      </c>
      <c r="F123" s="98">
        <f ca="1">SUBTOTAL(9,F121:OFFSET(F123,-1,0))</f>
        <v>0</v>
      </c>
    </row>
    <row r="124" spans="1:6" x14ac:dyDescent="0.25">
      <c r="A124" s="139" t="str">
        <f>INDEX(categories[Expense Categories],3)</f>
        <v>Communication &amp; Publication</v>
      </c>
      <c r="B124" s="100"/>
      <c r="C124" s="101"/>
      <c r="D124" s="101"/>
      <c r="E124" s="101"/>
      <c r="F124" s="102"/>
    </row>
    <row r="125" spans="1:6" x14ac:dyDescent="0.2">
      <c r="A125" s="142" t="s">
        <v>456</v>
      </c>
      <c r="B125" s="84"/>
      <c r="C125" s="84"/>
      <c r="D125" s="84"/>
      <c r="E125" s="84"/>
      <c r="F125" s="84"/>
    </row>
    <row r="126" spans="1:6" x14ac:dyDescent="0.2">
      <c r="A126" s="142" t="s">
        <v>457</v>
      </c>
      <c r="B126" s="84"/>
      <c r="C126" s="84"/>
      <c r="D126" s="84"/>
      <c r="E126" s="84"/>
      <c r="F126" s="84"/>
    </row>
    <row r="127" spans="1:6" x14ac:dyDescent="0.2">
      <c r="A127" s="142" t="s">
        <v>458</v>
      </c>
      <c r="B127" s="84"/>
      <c r="C127" s="84"/>
      <c r="D127" s="84"/>
      <c r="E127" s="84"/>
      <c r="F127" s="84"/>
    </row>
    <row r="128" spans="1:6" x14ac:dyDescent="0.25">
      <c r="A128" s="141" t="str">
        <f>"Subtotal " &amp; A124</f>
        <v>Subtotal Communication &amp; Publication</v>
      </c>
      <c r="B128" s="98">
        <f ca="1">SUBTOTAL(9,B125:OFFSET(B128,-1,0))</f>
        <v>0</v>
      </c>
      <c r="C128" s="98">
        <f ca="1">SUBTOTAL(9,C125:OFFSET(C128,-1,0))</f>
        <v>0</v>
      </c>
      <c r="D128" s="98">
        <f ca="1">SUBTOTAL(9,D125:OFFSET(D128,-1,0))</f>
        <v>0</v>
      </c>
      <c r="E128" s="98">
        <f ca="1">SUBTOTAL(9,E125:OFFSET(E128,-1,0))</f>
        <v>0</v>
      </c>
      <c r="F128" s="98">
        <f ca="1">SUBTOTAL(9,F125:OFFSET(F128,-1,0))</f>
        <v>0</v>
      </c>
    </row>
    <row r="129" spans="1:6" x14ac:dyDescent="0.25">
      <c r="A129" s="139" t="str">
        <f>INDEX(categories[Expense Categories],4)</f>
        <v>Travel</v>
      </c>
      <c r="B129" s="100"/>
      <c r="C129" s="101"/>
      <c r="D129" s="101"/>
      <c r="E129" s="101"/>
      <c r="F129" s="102"/>
    </row>
    <row r="130" spans="1:6" x14ac:dyDescent="0.2">
      <c r="A130" s="140"/>
      <c r="B130" s="84"/>
      <c r="C130" s="84"/>
      <c r="D130" s="84"/>
      <c r="E130" s="84"/>
      <c r="F130" s="84"/>
    </row>
    <row r="131" spans="1:6" x14ac:dyDescent="0.2">
      <c r="A131" s="140"/>
      <c r="B131" s="84"/>
      <c r="C131" s="84"/>
      <c r="D131" s="84"/>
      <c r="E131" s="84"/>
      <c r="F131" s="84"/>
    </row>
    <row r="132" spans="1:6" x14ac:dyDescent="0.25">
      <c r="A132" s="141" t="str">
        <f>"Subtotal " &amp; A129</f>
        <v>Subtotal Travel</v>
      </c>
      <c r="B132" s="98">
        <f ca="1">SUBTOTAL(9,B130:OFFSET(B132,-1,0))</f>
        <v>0</v>
      </c>
      <c r="C132" s="98">
        <f ca="1">SUBTOTAL(9,C130:OFFSET(C132,-1,0))</f>
        <v>0</v>
      </c>
      <c r="D132" s="98">
        <f ca="1">SUBTOTAL(9,D130:OFFSET(D132,-1,0))</f>
        <v>0</v>
      </c>
      <c r="E132" s="98">
        <f ca="1">SUBTOTAL(9,E130:OFFSET(E132,-1,0))</f>
        <v>0</v>
      </c>
      <c r="F132" s="98">
        <f ca="1">SUBTOTAL(9,F130:OFFSET(F132,-1,0))</f>
        <v>0</v>
      </c>
    </row>
    <row r="133" spans="1:6" x14ac:dyDescent="0.25">
      <c r="A133" s="139" t="str">
        <f>INDEX(categories[Expense Categories],5)</f>
        <v>Consumables</v>
      </c>
      <c r="B133" s="100"/>
      <c r="C133" s="101"/>
      <c r="D133" s="101"/>
      <c r="E133" s="101"/>
      <c r="F133" s="102"/>
    </row>
    <row r="134" spans="1:6" x14ac:dyDescent="0.2">
      <c r="A134" s="140"/>
      <c r="B134" s="84"/>
      <c r="C134" s="84"/>
      <c r="D134" s="84"/>
      <c r="E134" s="84"/>
      <c r="F134" s="84"/>
    </row>
    <row r="135" spans="1:6" x14ac:dyDescent="0.2">
      <c r="A135" s="140"/>
      <c r="B135" s="84"/>
      <c r="C135" s="84"/>
      <c r="D135" s="84"/>
      <c r="E135" s="84"/>
      <c r="F135" s="84"/>
    </row>
    <row r="136" spans="1:6" x14ac:dyDescent="0.2">
      <c r="A136" s="140"/>
      <c r="B136" s="84"/>
      <c r="C136" s="84"/>
      <c r="D136" s="84"/>
      <c r="E136" s="84"/>
      <c r="F136" s="84"/>
    </row>
    <row r="137" spans="1:6" x14ac:dyDescent="0.25">
      <c r="A137" s="141" t="str">
        <f>"Subtotal " &amp; A133</f>
        <v>Subtotal Consumables</v>
      </c>
      <c r="B137" s="98">
        <f ca="1">SUBTOTAL(9,B134:OFFSET(B137,-1,0))</f>
        <v>0</v>
      </c>
      <c r="C137" s="98">
        <f ca="1">SUBTOTAL(9,C134:OFFSET(C137,-1,0))</f>
        <v>0</v>
      </c>
      <c r="D137" s="98">
        <f ca="1">SUBTOTAL(9,D134:OFFSET(D137,-1,0))</f>
        <v>0</v>
      </c>
      <c r="E137" s="98">
        <f ca="1">SUBTOTAL(9,E134:OFFSET(E137,-1,0))</f>
        <v>0</v>
      </c>
      <c r="F137" s="98">
        <f ca="1">SUBTOTAL(9,F134:OFFSET(F137,-1,0))</f>
        <v>0</v>
      </c>
    </row>
    <row r="138" spans="1:6" x14ac:dyDescent="0.25">
      <c r="A138" s="139" t="str">
        <f>INDEX(categories[Expense Categories],6)</f>
        <v>Other</v>
      </c>
      <c r="B138" s="100"/>
      <c r="C138" s="101"/>
      <c r="D138" s="101"/>
      <c r="E138" s="101"/>
      <c r="F138" s="102"/>
    </row>
    <row r="139" spans="1:6" x14ac:dyDescent="0.2">
      <c r="A139" s="140"/>
      <c r="B139" s="84"/>
      <c r="C139" s="84"/>
      <c r="D139" s="84"/>
      <c r="E139" s="84"/>
      <c r="F139" s="84"/>
    </row>
    <row r="140" spans="1:6" x14ac:dyDescent="0.2">
      <c r="A140" s="140"/>
      <c r="B140" s="84"/>
      <c r="C140" s="84"/>
      <c r="D140" s="84"/>
      <c r="E140" s="84"/>
      <c r="F140" s="84"/>
    </row>
    <row r="141" spans="1:6" x14ac:dyDescent="0.2">
      <c r="A141" s="140"/>
      <c r="B141" s="84"/>
      <c r="C141" s="84"/>
      <c r="D141" s="84"/>
      <c r="E141" s="84"/>
      <c r="F141" s="84"/>
    </row>
    <row r="142" spans="1:6" x14ac:dyDescent="0.2">
      <c r="A142" s="140"/>
      <c r="B142" s="84"/>
      <c r="C142" s="84"/>
      <c r="D142" s="84"/>
      <c r="E142" s="84"/>
      <c r="F142" s="84"/>
    </row>
    <row r="143" spans="1:6" x14ac:dyDescent="0.2">
      <c r="A143" s="140"/>
      <c r="B143" s="84"/>
      <c r="C143" s="84"/>
      <c r="D143" s="84"/>
      <c r="E143" s="84"/>
      <c r="F143" s="84"/>
    </row>
    <row r="144" spans="1:6" x14ac:dyDescent="0.25">
      <c r="A144" s="141" t="str">
        <f>"Subtotal " &amp; A138</f>
        <v>Subtotal Other</v>
      </c>
      <c r="B144" s="98">
        <f ca="1">SUBTOTAL(9,B139:OFFSET(B144,-1,0))</f>
        <v>0</v>
      </c>
      <c r="C144" s="98">
        <f ca="1">SUBTOTAL(9,C139:OFFSET(C144,-1,0))</f>
        <v>0</v>
      </c>
      <c r="D144" s="98">
        <f ca="1">SUBTOTAL(9,D139:OFFSET(D144,-1,0))</f>
        <v>0</v>
      </c>
      <c r="E144" s="98">
        <f ca="1">SUBTOTAL(9,E139:OFFSET(E144,-1,0))</f>
        <v>0</v>
      </c>
      <c r="F144" s="98">
        <f ca="1">SUBTOTAL(9,F139:OFFSET(F144,-1,0))</f>
        <v>0</v>
      </c>
    </row>
    <row r="145" spans="1:6" x14ac:dyDescent="0.25">
      <c r="A145" s="139" t="str">
        <f>INDEX(categories[Expense Categories],7)</f>
        <v>Stipends</v>
      </c>
      <c r="B145" s="100"/>
      <c r="C145" s="101"/>
      <c r="D145" s="101"/>
      <c r="E145" s="101"/>
      <c r="F145" s="102"/>
    </row>
    <row r="146" spans="1:6" x14ac:dyDescent="0.2">
      <c r="A146" s="140"/>
      <c r="B146" s="84"/>
      <c r="C146" s="84"/>
      <c r="D146" s="84"/>
      <c r="E146" s="84"/>
      <c r="F146" s="84"/>
    </row>
    <row r="147" spans="1:6" x14ac:dyDescent="0.2">
      <c r="A147" s="140"/>
      <c r="B147" s="84"/>
      <c r="C147" s="84"/>
      <c r="D147" s="84"/>
      <c r="E147" s="84"/>
      <c r="F147" s="84"/>
    </row>
    <row r="148" spans="1:6" x14ac:dyDescent="0.2">
      <c r="A148" s="140"/>
      <c r="B148" s="84"/>
      <c r="C148" s="84"/>
      <c r="D148" s="84"/>
      <c r="E148" s="84"/>
      <c r="F148" s="84"/>
    </row>
    <row r="149" spans="1:6" x14ac:dyDescent="0.25">
      <c r="A149" s="141" t="str">
        <f>"Subtotal " &amp; A145</f>
        <v>Subtotal Stipends</v>
      </c>
      <c r="B149" s="99">
        <f ca="1">SUBTOTAL(9,B146:OFFSET(B149,-1,0))</f>
        <v>0</v>
      </c>
      <c r="C149" s="99">
        <f ca="1">SUBTOTAL(9,C146:OFFSET(C149,-1,0))</f>
        <v>0</v>
      </c>
      <c r="D149" s="99">
        <f ca="1">SUBTOTAL(9,D146:OFFSET(D149,-1,0))</f>
        <v>0</v>
      </c>
      <c r="E149" s="99">
        <f ca="1">SUBTOTAL(9,E146:OFFSET(E149,-1,0))</f>
        <v>0</v>
      </c>
      <c r="F149" s="99">
        <f ca="1">SUBTOTAL(9,F146:OFFSET(F149,-1,0))</f>
        <v>0</v>
      </c>
    </row>
    <row r="150" spans="1:6" x14ac:dyDescent="0.25">
      <c r="A150" s="139" t="str">
        <f>INDEX(categories[Expense Categories],8)</f>
        <v>Co-financing of personnel</v>
      </c>
      <c r="B150" s="100"/>
      <c r="C150" s="100"/>
      <c r="D150" s="100"/>
      <c r="E150" s="100"/>
      <c r="F150" s="100"/>
    </row>
    <row r="151" spans="1:6" x14ac:dyDescent="0.2">
      <c r="A151" s="140"/>
      <c r="B151" s="140"/>
      <c r="C151" s="140"/>
      <c r="D151" s="140"/>
      <c r="E151" s="140"/>
      <c r="F151" s="140"/>
    </row>
    <row r="152" spans="1:6" x14ac:dyDescent="0.2">
      <c r="A152" s="140"/>
      <c r="B152" s="140"/>
      <c r="C152" s="140"/>
      <c r="D152" s="140"/>
      <c r="E152" s="140"/>
      <c r="F152" s="140"/>
    </row>
    <row r="153" spans="1:6" x14ac:dyDescent="0.2">
      <c r="A153" s="140"/>
      <c r="B153" s="140"/>
      <c r="C153" s="140"/>
      <c r="D153" s="140"/>
      <c r="E153" s="140"/>
      <c r="F153" s="140"/>
    </row>
    <row r="154" spans="1:6" x14ac:dyDescent="0.25">
      <c r="A154" s="141" t="str">
        <f>"Subtotal " &amp; A150</f>
        <v>Subtotal Co-financing of personnel</v>
      </c>
      <c r="B154" s="99">
        <f ca="1">SUBTOTAL(9,B151:OFFSET(B154,-1,0))</f>
        <v>0</v>
      </c>
      <c r="C154" s="99">
        <f ca="1">SUBTOTAL(9,C151:OFFSET(C154,-1,0))</f>
        <v>0</v>
      </c>
      <c r="D154" s="99">
        <f ca="1">SUBTOTAL(9,D151:OFFSET(D154,-1,0))</f>
        <v>0</v>
      </c>
      <c r="E154" s="99">
        <f ca="1">SUBTOTAL(9,E151:OFFSET(E154,-1,0))</f>
        <v>0</v>
      </c>
      <c r="F154" s="99">
        <f ca="1">SUBTOTAL(9,F151:OFFSET(F154,-1,0))</f>
        <v>0</v>
      </c>
    </row>
    <row r="155" spans="1:6" x14ac:dyDescent="0.2">
      <c r="A155" s="144"/>
      <c r="B155" s="103"/>
      <c r="C155" s="103"/>
      <c r="D155" s="103"/>
      <c r="E155" s="103"/>
      <c r="F155" s="103"/>
    </row>
    <row r="156" spans="1:6" x14ac:dyDescent="0.25">
      <c r="A156" s="141" t="s">
        <v>459</v>
      </c>
      <c r="B156" s="99">
        <f ca="1">SUBTOTAL(9,B114:B155)</f>
        <v>0</v>
      </c>
      <c r="C156" s="99">
        <f ca="1">SUBTOTAL(9,C114:C155)</f>
        <v>0</v>
      </c>
      <c r="D156" s="99">
        <f ca="1">SUBTOTAL(9,D114:D155)</f>
        <v>0</v>
      </c>
      <c r="E156" s="99">
        <f ca="1">SUBTOTAL(9,E114:E155)</f>
        <v>0</v>
      </c>
      <c r="F156" s="99">
        <f ca="1">SUBTOTAL(9,F114:F155)</f>
        <v>0</v>
      </c>
    </row>
    <row r="157" spans="1:6" ht="38.25" x14ac:dyDescent="0.25">
      <c r="A157" s="143"/>
      <c r="B157" s="89"/>
      <c r="C157" s="89"/>
      <c r="D157" s="90" t="s">
        <v>460</v>
      </c>
      <c r="E157" s="90"/>
      <c r="F157" s="91">
        <f ca="1">SUM(B156:F156)</f>
        <v>0</v>
      </c>
    </row>
    <row r="159" spans="1:6" ht="18" x14ac:dyDescent="0.25">
      <c r="A159" s="128" t="str">
        <f>"SPS " &amp; spsRefNo &amp; ": " &amp; projectTitle</f>
        <v xml:space="preserve">SPS : </v>
      </c>
      <c r="B159" s="128"/>
      <c r="C159" s="129" t="s">
        <v>461</v>
      </c>
      <c r="D159" s="129"/>
      <c r="E159" s="129"/>
      <c r="F159" s="92" t="s">
        <v>465</v>
      </c>
    </row>
    <row r="160" spans="1:6" ht="25.5" x14ac:dyDescent="0.25">
      <c r="A160" s="93" t="str">
        <f>F159 &amp; " name"</f>
        <v>CoB name</v>
      </c>
      <c r="B160" s="130" t="s">
        <v>307</v>
      </c>
      <c r="C160" s="130"/>
      <c r="D160" s="130" t="s">
        <v>308</v>
      </c>
      <c r="E160" s="130"/>
      <c r="F160" s="93" t="s">
        <v>450</v>
      </c>
    </row>
    <row r="161" spans="1:6" x14ac:dyDescent="0.2">
      <c r="A161" s="136" t="str">
        <f>INDEX(directors[First],MATCH(F159,directors[Role],0)) &amp; " " &amp; INDEX(directors[Last],MATCH(F159,directors[Role],0))</f>
        <v xml:space="preserve"> </v>
      </c>
      <c r="B161" s="131">
        <f>INDEX(directors[Institution],MATCH(F159,directors[Role],0))</f>
        <v>0</v>
      </c>
      <c r="C161" s="131"/>
      <c r="D161" s="131">
        <f>INDEX(directors[Country],MATCH(F159,directors[Role],0))</f>
        <v>0</v>
      </c>
      <c r="E161" s="131"/>
      <c r="F161" s="94">
        <f>projectDuration</f>
        <v>0</v>
      </c>
    </row>
    <row r="162" spans="1:6" ht="15" x14ac:dyDescent="0.25">
      <c r="A162" s="137"/>
      <c r="B162" s="79"/>
      <c r="C162" s="79"/>
      <c r="D162" s="79"/>
      <c r="E162" s="79"/>
      <c r="F162" s="79"/>
    </row>
    <row r="163" spans="1:6" x14ac:dyDescent="0.25">
      <c r="A163" s="138" t="s">
        <v>453</v>
      </c>
      <c r="B163" s="95">
        <f>INDEX(milestoneDates[Expected Date (months post Kickoff)],MATCH(B164,milestoneDates[Milestone],0))</f>
        <v>6</v>
      </c>
      <c r="C163" s="95">
        <f>INDEX(milestoneDates[Expected Date (months post Kickoff)],MATCH(C164,milestoneDates[Milestone],0))</f>
        <v>0</v>
      </c>
      <c r="D163" s="95">
        <f>INDEX(milestoneDates[Expected Date (months post Kickoff)],MATCH(D164,milestoneDates[Milestone],0))</f>
        <v>0</v>
      </c>
      <c r="E163" s="95">
        <f>INDEX(milestoneDates[Expected Date (months post Kickoff)],MATCH(E164,milestoneDates[Milestone],0))</f>
        <v>0</v>
      </c>
      <c r="F163" s="95">
        <f>INDEX(milestoneDates[Expected Date (months post Kickoff)],MATCH(F164,milestoneDates[Milestone],0))</f>
        <v>0</v>
      </c>
    </row>
    <row r="164" spans="1:6" ht="25.5" x14ac:dyDescent="0.25">
      <c r="A164" s="96" t="s">
        <v>395</v>
      </c>
      <c r="B164" s="97" t="s">
        <v>407</v>
      </c>
      <c r="C164" s="97" t="s">
        <v>408</v>
      </c>
      <c r="D164" s="97" t="s">
        <v>409</v>
      </c>
      <c r="E164" s="97" t="s">
        <v>485</v>
      </c>
      <c r="F164" s="97" t="s">
        <v>410</v>
      </c>
    </row>
    <row r="165" spans="1:6" x14ac:dyDescent="0.25">
      <c r="A165" s="139" t="str">
        <f>INDEX(categories[Expense Categories],1)</f>
        <v>Equipment</v>
      </c>
      <c r="B165" s="100" t="s">
        <v>454</v>
      </c>
      <c r="C165" s="101"/>
      <c r="D165" s="101"/>
      <c r="E165" s="101"/>
      <c r="F165" s="102"/>
    </row>
    <row r="166" spans="1:6" x14ac:dyDescent="0.2">
      <c r="A166" s="140"/>
      <c r="B166" s="84"/>
      <c r="C166" s="84"/>
      <c r="D166" s="84"/>
      <c r="E166" s="84"/>
      <c r="F166" s="84"/>
    </row>
    <row r="167" spans="1:6" x14ac:dyDescent="0.2">
      <c r="A167" s="140"/>
      <c r="B167" s="84"/>
      <c r="C167" s="84"/>
      <c r="D167" s="84"/>
      <c r="E167" s="84"/>
      <c r="F167" s="84"/>
    </row>
    <row r="168" spans="1:6" x14ac:dyDescent="0.2">
      <c r="A168" s="140"/>
      <c r="B168" s="84"/>
      <c r="C168" s="84"/>
      <c r="D168" s="84"/>
      <c r="E168" s="84"/>
      <c r="F168" s="84"/>
    </row>
    <row r="169" spans="1:6" x14ac:dyDescent="0.2">
      <c r="A169" s="140"/>
      <c r="B169" s="84"/>
      <c r="C169" s="84"/>
      <c r="D169" s="84"/>
      <c r="E169" s="84"/>
      <c r="F169" s="84"/>
    </row>
    <row r="170" spans="1:6" x14ac:dyDescent="0.2">
      <c r="A170" s="140"/>
      <c r="B170" s="84"/>
      <c r="C170" s="84"/>
      <c r="D170" s="84"/>
      <c r="E170" s="84"/>
      <c r="F170" s="84"/>
    </row>
    <row r="171" spans="1:6" x14ac:dyDescent="0.25">
      <c r="A171" s="141" t="str">
        <f>"Subtotal " &amp; A165</f>
        <v>Subtotal Equipment</v>
      </c>
      <c r="B171" s="98">
        <f ca="1">SUBTOTAL(9,B166:OFFSET(B171,-1,0))</f>
        <v>0</v>
      </c>
      <c r="C171" s="98">
        <f ca="1">SUBTOTAL(9,C166:OFFSET(C171,-1,0))</f>
        <v>0</v>
      </c>
      <c r="D171" s="98">
        <f ca="1">SUBTOTAL(9,D166:OFFSET(D171,-1,0))</f>
        <v>0</v>
      </c>
      <c r="E171" s="98">
        <f ca="1">SUBTOTAL(9,E166:OFFSET(E171,-1,0))</f>
        <v>0</v>
      </c>
      <c r="F171" s="98">
        <f ca="1">SUBTOTAL(9,F166:OFFSET(F171,-1,0))</f>
        <v>0</v>
      </c>
    </row>
    <row r="172" spans="1:6" x14ac:dyDescent="0.25">
      <c r="A172" s="139" t="str">
        <f>INDEX(categories[Expense Categories],2)</f>
        <v>Training</v>
      </c>
      <c r="B172" s="100" t="s">
        <v>455</v>
      </c>
      <c r="C172" s="101"/>
      <c r="D172" s="101"/>
      <c r="E172" s="101"/>
      <c r="F172" s="102"/>
    </row>
    <row r="173" spans="1:6" x14ac:dyDescent="0.2">
      <c r="A173" s="140"/>
      <c r="B173" s="84"/>
      <c r="C173" s="84"/>
      <c r="D173" s="84"/>
      <c r="E173" s="84"/>
      <c r="F173" s="84"/>
    </row>
    <row r="174" spans="1:6" x14ac:dyDescent="0.2">
      <c r="A174" s="140"/>
      <c r="B174" s="84"/>
      <c r="C174" s="84"/>
      <c r="D174" s="84"/>
      <c r="E174" s="84"/>
      <c r="F174" s="84"/>
    </row>
    <row r="175" spans="1:6" x14ac:dyDescent="0.25">
      <c r="A175" s="141" t="str">
        <f>"Subtotal " &amp; A172</f>
        <v>Subtotal Training</v>
      </c>
      <c r="B175" s="98">
        <f ca="1">SUBTOTAL(9,B173:OFFSET(B175,-1,0))</f>
        <v>0</v>
      </c>
      <c r="C175" s="98">
        <f ca="1">SUBTOTAL(9,C173:OFFSET(C175,-1,0))</f>
        <v>0</v>
      </c>
      <c r="D175" s="98">
        <f ca="1">SUBTOTAL(9,D173:OFFSET(D175,-1,0))</f>
        <v>0</v>
      </c>
      <c r="E175" s="98">
        <f ca="1">SUBTOTAL(9,E173:OFFSET(E175,-1,0))</f>
        <v>0</v>
      </c>
      <c r="F175" s="98">
        <f ca="1">SUBTOTAL(9,F173:OFFSET(F175,-1,0))</f>
        <v>0</v>
      </c>
    </row>
    <row r="176" spans="1:6" x14ac:dyDescent="0.25">
      <c r="A176" s="139" t="str">
        <f>INDEX(categories[Expense Categories],3)</f>
        <v>Communication &amp; Publication</v>
      </c>
      <c r="B176" s="100"/>
      <c r="C176" s="101"/>
      <c r="D176" s="101"/>
      <c r="E176" s="101"/>
      <c r="F176" s="102"/>
    </row>
    <row r="177" spans="1:6" x14ac:dyDescent="0.2">
      <c r="A177" s="142" t="s">
        <v>456</v>
      </c>
      <c r="B177" s="84"/>
      <c r="C177" s="84"/>
      <c r="D177" s="84"/>
      <c r="E177" s="84"/>
      <c r="F177" s="84"/>
    </row>
    <row r="178" spans="1:6" x14ac:dyDescent="0.2">
      <c r="A178" s="142" t="s">
        <v>457</v>
      </c>
      <c r="B178" s="84"/>
      <c r="C178" s="84"/>
      <c r="D178" s="84"/>
      <c r="E178" s="84"/>
      <c r="F178" s="84"/>
    </row>
    <row r="179" spans="1:6" x14ac:dyDescent="0.2">
      <c r="A179" s="142" t="s">
        <v>458</v>
      </c>
      <c r="B179" s="84"/>
      <c r="C179" s="84"/>
      <c r="D179" s="84"/>
      <c r="E179" s="84"/>
      <c r="F179" s="84"/>
    </row>
    <row r="180" spans="1:6" x14ac:dyDescent="0.25">
      <c r="A180" s="141" t="str">
        <f>"Subtotal " &amp; A176</f>
        <v>Subtotal Communication &amp; Publication</v>
      </c>
      <c r="B180" s="98">
        <f ca="1">SUBTOTAL(9,B177:OFFSET(B180,-1,0))</f>
        <v>0</v>
      </c>
      <c r="C180" s="98">
        <f ca="1">SUBTOTAL(9,C177:OFFSET(C180,-1,0))</f>
        <v>0</v>
      </c>
      <c r="D180" s="98">
        <f ca="1">SUBTOTAL(9,D177:OFFSET(D180,-1,0))</f>
        <v>0</v>
      </c>
      <c r="E180" s="98">
        <f ca="1">SUBTOTAL(9,E177:OFFSET(E180,-1,0))</f>
        <v>0</v>
      </c>
      <c r="F180" s="98">
        <f ca="1">SUBTOTAL(9,F177:OFFSET(F180,-1,0))</f>
        <v>0</v>
      </c>
    </row>
    <row r="181" spans="1:6" x14ac:dyDescent="0.25">
      <c r="A181" s="139" t="str">
        <f>INDEX(categories[Expense Categories],4)</f>
        <v>Travel</v>
      </c>
      <c r="B181" s="100"/>
      <c r="C181" s="101"/>
      <c r="D181" s="101"/>
      <c r="E181" s="101"/>
      <c r="F181" s="102"/>
    </row>
    <row r="182" spans="1:6" x14ac:dyDescent="0.2">
      <c r="A182" s="140"/>
      <c r="B182" s="84"/>
      <c r="C182" s="84"/>
      <c r="D182" s="84"/>
      <c r="E182" s="84"/>
      <c r="F182" s="84"/>
    </row>
    <row r="183" spans="1:6" x14ac:dyDescent="0.2">
      <c r="A183" s="140"/>
      <c r="B183" s="84"/>
      <c r="C183" s="84"/>
      <c r="D183" s="84"/>
      <c r="E183" s="84"/>
      <c r="F183" s="84"/>
    </row>
    <row r="184" spans="1:6" x14ac:dyDescent="0.25">
      <c r="A184" s="141" t="str">
        <f>"Subtotal " &amp; A181</f>
        <v>Subtotal Travel</v>
      </c>
      <c r="B184" s="98">
        <f ca="1">SUBTOTAL(9,B182:OFFSET(B184,-1,0))</f>
        <v>0</v>
      </c>
      <c r="C184" s="98">
        <f ca="1">SUBTOTAL(9,C182:OFFSET(C184,-1,0))</f>
        <v>0</v>
      </c>
      <c r="D184" s="98">
        <f ca="1">SUBTOTAL(9,D182:OFFSET(D184,-1,0))</f>
        <v>0</v>
      </c>
      <c r="E184" s="98">
        <f ca="1">SUBTOTAL(9,E182:OFFSET(E184,-1,0))</f>
        <v>0</v>
      </c>
      <c r="F184" s="98">
        <f ca="1">SUBTOTAL(9,F182:OFFSET(F184,-1,0))</f>
        <v>0</v>
      </c>
    </row>
    <row r="185" spans="1:6" x14ac:dyDescent="0.25">
      <c r="A185" s="139" t="str">
        <f>INDEX(categories[Expense Categories],5)</f>
        <v>Consumables</v>
      </c>
      <c r="B185" s="100"/>
      <c r="C185" s="101"/>
      <c r="D185" s="101"/>
      <c r="E185" s="101"/>
      <c r="F185" s="102"/>
    </row>
    <row r="186" spans="1:6" x14ac:dyDescent="0.2">
      <c r="A186" s="140"/>
      <c r="B186" s="84"/>
      <c r="C186" s="84"/>
      <c r="D186" s="84"/>
      <c r="E186" s="84"/>
      <c r="F186" s="84"/>
    </row>
    <row r="187" spans="1:6" x14ac:dyDescent="0.2">
      <c r="A187" s="140"/>
      <c r="B187" s="84"/>
      <c r="C187" s="84"/>
      <c r="D187" s="84"/>
      <c r="E187" s="84"/>
      <c r="F187" s="84"/>
    </row>
    <row r="188" spans="1:6" x14ac:dyDescent="0.2">
      <c r="A188" s="140"/>
      <c r="B188" s="84"/>
      <c r="C188" s="84"/>
      <c r="D188" s="84"/>
      <c r="E188" s="84"/>
      <c r="F188" s="84"/>
    </row>
    <row r="189" spans="1:6" x14ac:dyDescent="0.25">
      <c r="A189" s="141" t="str">
        <f>"Subtotal " &amp; A185</f>
        <v>Subtotal Consumables</v>
      </c>
      <c r="B189" s="98">
        <f ca="1">SUBTOTAL(9,B186:OFFSET(B189,-1,0))</f>
        <v>0</v>
      </c>
      <c r="C189" s="98">
        <f ca="1">SUBTOTAL(9,C186:OFFSET(C189,-1,0))</f>
        <v>0</v>
      </c>
      <c r="D189" s="98">
        <f ca="1">SUBTOTAL(9,D186:OFFSET(D189,-1,0))</f>
        <v>0</v>
      </c>
      <c r="E189" s="98">
        <f ca="1">SUBTOTAL(9,E186:OFFSET(E189,-1,0))</f>
        <v>0</v>
      </c>
      <c r="F189" s="98">
        <f ca="1">SUBTOTAL(9,F186:OFFSET(F189,-1,0))</f>
        <v>0</v>
      </c>
    </row>
    <row r="190" spans="1:6" x14ac:dyDescent="0.25">
      <c r="A190" s="139" t="str">
        <f>INDEX(categories[Expense Categories],6)</f>
        <v>Other</v>
      </c>
      <c r="B190" s="100"/>
      <c r="C190" s="101"/>
      <c r="D190" s="101"/>
      <c r="E190" s="101"/>
      <c r="F190" s="102"/>
    </row>
    <row r="191" spans="1:6" x14ac:dyDescent="0.2">
      <c r="A191" s="140"/>
      <c r="B191" s="84"/>
      <c r="C191" s="84"/>
      <c r="D191" s="84"/>
      <c r="E191" s="84"/>
      <c r="F191" s="84"/>
    </row>
    <row r="192" spans="1:6" x14ac:dyDescent="0.2">
      <c r="A192" s="140"/>
      <c r="B192" s="84"/>
      <c r="C192" s="84"/>
      <c r="D192" s="84"/>
      <c r="E192" s="84"/>
      <c r="F192" s="84"/>
    </row>
    <row r="193" spans="1:6" x14ac:dyDescent="0.25">
      <c r="A193" s="141" t="str">
        <f>"Subtotal " &amp; A190</f>
        <v>Subtotal Other</v>
      </c>
      <c r="B193" s="98">
        <f ca="1">SUBTOTAL(9,B191:OFFSET(B193,-1,0))</f>
        <v>0</v>
      </c>
      <c r="C193" s="98">
        <f ca="1">SUBTOTAL(9,C191:OFFSET(C193,-1,0))</f>
        <v>0</v>
      </c>
      <c r="D193" s="98">
        <f ca="1">SUBTOTAL(9,D191:OFFSET(D193,-1,0))</f>
        <v>0</v>
      </c>
      <c r="E193" s="98">
        <f ca="1">SUBTOTAL(9,E191:OFFSET(E193,-1,0))</f>
        <v>0</v>
      </c>
      <c r="F193" s="98">
        <f ca="1">SUBTOTAL(9,F191:OFFSET(F193,-1,0))</f>
        <v>0</v>
      </c>
    </row>
    <row r="194" spans="1:6" x14ac:dyDescent="0.25">
      <c r="A194" s="139" t="str">
        <f>INDEX(categories[Expense Categories],7)</f>
        <v>Stipends</v>
      </c>
      <c r="B194" s="100"/>
      <c r="C194" s="101"/>
      <c r="D194" s="101"/>
      <c r="E194" s="101"/>
      <c r="F194" s="102"/>
    </row>
    <row r="195" spans="1:6" x14ac:dyDescent="0.2">
      <c r="A195" s="140"/>
      <c r="B195" s="84"/>
      <c r="C195" s="84"/>
      <c r="D195" s="84"/>
      <c r="E195" s="84"/>
      <c r="F195" s="84"/>
    </row>
    <row r="196" spans="1:6" x14ac:dyDescent="0.2">
      <c r="A196" s="140"/>
      <c r="B196" s="84"/>
      <c r="C196" s="84"/>
      <c r="D196" s="84"/>
      <c r="E196" s="84"/>
      <c r="F196" s="84"/>
    </row>
    <row r="197" spans="1:6" x14ac:dyDescent="0.2">
      <c r="A197" s="140"/>
      <c r="B197" s="84"/>
      <c r="C197" s="84"/>
      <c r="D197" s="84"/>
      <c r="E197" s="84"/>
      <c r="F197" s="84"/>
    </row>
    <row r="198" spans="1:6" x14ac:dyDescent="0.25">
      <c r="A198" s="141" t="str">
        <f>"Subtotal " &amp; A194</f>
        <v>Subtotal Stipends</v>
      </c>
      <c r="B198" s="99">
        <f ca="1">SUBTOTAL(9,B195:OFFSET(B198,-1,0))</f>
        <v>0</v>
      </c>
      <c r="C198" s="99">
        <f ca="1">SUBTOTAL(9,C195:OFFSET(C198,-1,0))</f>
        <v>0</v>
      </c>
      <c r="D198" s="99">
        <f ca="1">SUBTOTAL(9,D195:OFFSET(D198,-1,0))</f>
        <v>0</v>
      </c>
      <c r="E198" s="99">
        <f ca="1">SUBTOTAL(9,E195:OFFSET(E198,-1,0))</f>
        <v>0</v>
      </c>
      <c r="F198" s="99">
        <f ca="1">SUBTOTAL(9,F195:OFFSET(F198,-1,0))</f>
        <v>0</v>
      </c>
    </row>
    <row r="199" spans="1:6" x14ac:dyDescent="0.25">
      <c r="A199" s="139" t="str">
        <f>INDEX(categories[Expense Categories],8)</f>
        <v>Co-financing of personnel</v>
      </c>
      <c r="B199" s="100"/>
      <c r="C199" s="100"/>
      <c r="D199" s="100"/>
      <c r="E199" s="100"/>
      <c r="F199" s="100"/>
    </row>
    <row r="200" spans="1:6" x14ac:dyDescent="0.2">
      <c r="A200" s="140"/>
      <c r="B200" s="140"/>
      <c r="C200" s="140"/>
      <c r="D200" s="140"/>
      <c r="E200" s="140"/>
      <c r="F200" s="140"/>
    </row>
    <row r="201" spans="1:6" x14ac:dyDescent="0.2">
      <c r="A201" s="140"/>
      <c r="B201" s="140"/>
      <c r="C201" s="140"/>
      <c r="D201" s="140"/>
      <c r="E201" s="140"/>
      <c r="F201" s="140"/>
    </row>
    <row r="202" spans="1:6" x14ac:dyDescent="0.2">
      <c r="A202" s="140"/>
      <c r="B202" s="140"/>
      <c r="C202" s="140"/>
      <c r="D202" s="140"/>
      <c r="E202" s="140"/>
      <c r="F202" s="140"/>
    </row>
    <row r="203" spans="1:6" x14ac:dyDescent="0.25">
      <c r="A203" s="141" t="str">
        <f>"Subtotal " &amp; A199</f>
        <v>Subtotal Co-financing of personnel</v>
      </c>
      <c r="B203" s="99">
        <f ca="1">SUBTOTAL(9,B200:OFFSET(B203,-1,0))</f>
        <v>0</v>
      </c>
      <c r="C203" s="99">
        <f ca="1">SUBTOTAL(9,C200:OFFSET(C203,-1,0))</f>
        <v>0</v>
      </c>
      <c r="D203" s="99">
        <f ca="1">SUBTOTAL(9,D200:OFFSET(D203,-1,0))</f>
        <v>0</v>
      </c>
      <c r="E203" s="99">
        <f ca="1">SUBTOTAL(9,E200:OFFSET(E203,-1,0))</f>
        <v>0</v>
      </c>
      <c r="F203" s="99">
        <f ca="1">SUBTOTAL(9,F200:OFFSET(F203,-1,0))</f>
        <v>0</v>
      </c>
    </row>
    <row r="204" spans="1:6" x14ac:dyDescent="0.2">
      <c r="A204" s="144"/>
      <c r="B204" s="103"/>
      <c r="C204" s="103"/>
      <c r="D204" s="103"/>
      <c r="E204" s="103"/>
      <c r="F204" s="103"/>
    </row>
    <row r="205" spans="1:6" x14ac:dyDescent="0.25">
      <c r="A205" s="141" t="s">
        <v>459</v>
      </c>
      <c r="B205" s="99">
        <f ca="1">SUBTOTAL(9,B166:B204)</f>
        <v>0</v>
      </c>
      <c r="C205" s="99">
        <f ca="1">SUBTOTAL(9,C166:C204)</f>
        <v>0</v>
      </c>
      <c r="D205" s="99">
        <f ca="1">SUBTOTAL(9,D166:D204)</f>
        <v>0</v>
      </c>
      <c r="E205" s="99">
        <f ca="1">SUBTOTAL(9,E166:E204)</f>
        <v>0</v>
      </c>
      <c r="F205" s="99">
        <f ca="1">SUBTOTAL(9,F166:F204)</f>
        <v>0</v>
      </c>
    </row>
    <row r="206" spans="1:6" ht="38.25" x14ac:dyDescent="0.25">
      <c r="A206" s="143"/>
      <c r="B206" s="89"/>
      <c r="C206" s="89"/>
      <c r="D206" s="90" t="s">
        <v>460</v>
      </c>
      <c r="E206" s="90"/>
      <c r="F206" s="91">
        <f ca="1">SUM(B205:F205)</f>
        <v>0</v>
      </c>
    </row>
    <row r="208" spans="1:6" ht="18" x14ac:dyDescent="0.25">
      <c r="A208" s="128" t="str">
        <f>"SPS " &amp; spsRefNo &amp; ": " &amp; projectTitle</f>
        <v xml:space="preserve">SPS : </v>
      </c>
      <c r="B208" s="128"/>
      <c r="C208" s="129" t="s">
        <v>461</v>
      </c>
      <c r="D208" s="129"/>
      <c r="E208" s="129"/>
      <c r="F208" s="92" t="s">
        <v>466</v>
      </c>
    </row>
    <row r="209" spans="1:6" ht="25.5" x14ac:dyDescent="0.25">
      <c r="A209" s="93" t="str">
        <f>F208 &amp; " name"</f>
        <v>CoC name</v>
      </c>
      <c r="B209" s="130" t="s">
        <v>307</v>
      </c>
      <c r="C209" s="130"/>
      <c r="D209" s="130" t="s">
        <v>308</v>
      </c>
      <c r="E209" s="130"/>
      <c r="F209" s="93" t="s">
        <v>450</v>
      </c>
    </row>
    <row r="210" spans="1:6" x14ac:dyDescent="0.2">
      <c r="A210" s="136" t="str">
        <f>INDEX(directors[First],MATCH(F208,directors[Role],0)) &amp; " " &amp; INDEX(directors[Last],MATCH(F208,directors[Role],0))</f>
        <v xml:space="preserve"> </v>
      </c>
      <c r="B210" s="131">
        <f>INDEX(directors[Institution],MATCH(F208,directors[Role],0))</f>
        <v>0</v>
      </c>
      <c r="C210" s="131"/>
      <c r="D210" s="131">
        <f>INDEX(directors[Country],MATCH(F208,directors[Role],0))</f>
        <v>0</v>
      </c>
      <c r="E210" s="131"/>
      <c r="F210" s="94">
        <f>projectDuration</f>
        <v>0</v>
      </c>
    </row>
    <row r="211" spans="1:6" ht="15" x14ac:dyDescent="0.25">
      <c r="A211" s="137"/>
      <c r="B211" s="79"/>
      <c r="C211" s="79"/>
      <c r="D211" s="79"/>
      <c r="E211" s="79"/>
      <c r="F211" s="79"/>
    </row>
    <row r="212" spans="1:6" x14ac:dyDescent="0.25">
      <c r="A212" s="138" t="s">
        <v>453</v>
      </c>
      <c r="B212" s="95">
        <f>INDEX(milestoneDates[Expected Date (months post Kickoff)],MATCH(B213,milestoneDates[Milestone],0))</f>
        <v>6</v>
      </c>
      <c r="C212" s="95">
        <f>INDEX(milestoneDates[Expected Date (months post Kickoff)],MATCH(C213,milestoneDates[Milestone],0))</f>
        <v>0</v>
      </c>
      <c r="D212" s="95">
        <f>INDEX(milestoneDates[Expected Date (months post Kickoff)],MATCH(D213,milestoneDates[Milestone],0))</f>
        <v>0</v>
      </c>
      <c r="E212" s="95">
        <f>INDEX(milestoneDates[Expected Date (months post Kickoff)],MATCH(E213,milestoneDates[Milestone],0))</f>
        <v>0</v>
      </c>
      <c r="F212" s="95">
        <f>INDEX(milestoneDates[Expected Date (months post Kickoff)],MATCH(F213,milestoneDates[Milestone],0))</f>
        <v>0</v>
      </c>
    </row>
    <row r="213" spans="1:6" ht="25.5" x14ac:dyDescent="0.25">
      <c r="A213" s="96" t="s">
        <v>395</v>
      </c>
      <c r="B213" s="97" t="s">
        <v>407</v>
      </c>
      <c r="C213" s="97" t="s">
        <v>408</v>
      </c>
      <c r="D213" s="97" t="s">
        <v>409</v>
      </c>
      <c r="E213" s="97" t="s">
        <v>485</v>
      </c>
      <c r="F213" s="97" t="s">
        <v>410</v>
      </c>
    </row>
    <row r="214" spans="1:6" x14ac:dyDescent="0.25">
      <c r="A214" s="139" t="str">
        <f>INDEX(categories[Expense Categories],1)</f>
        <v>Equipment</v>
      </c>
      <c r="B214" s="100" t="s">
        <v>454</v>
      </c>
      <c r="C214" s="101"/>
      <c r="D214" s="101"/>
      <c r="E214" s="101"/>
      <c r="F214" s="102"/>
    </row>
    <row r="215" spans="1:6" x14ac:dyDescent="0.2">
      <c r="A215" s="140"/>
      <c r="B215" s="84"/>
      <c r="C215" s="84"/>
      <c r="D215" s="84"/>
      <c r="E215" s="84"/>
      <c r="F215" s="84"/>
    </row>
    <row r="216" spans="1:6" x14ac:dyDescent="0.2">
      <c r="A216" s="140"/>
      <c r="B216" s="84"/>
      <c r="C216" s="84"/>
      <c r="D216" s="84"/>
      <c r="E216" s="84"/>
      <c r="F216" s="84"/>
    </row>
    <row r="217" spans="1:6" x14ac:dyDescent="0.2">
      <c r="A217" s="140"/>
      <c r="B217" s="84"/>
      <c r="C217" s="84"/>
      <c r="D217" s="84"/>
      <c r="E217" s="84"/>
      <c r="F217" s="84"/>
    </row>
    <row r="218" spans="1:6" x14ac:dyDescent="0.2">
      <c r="A218" s="140"/>
      <c r="B218" s="84"/>
      <c r="C218" s="84"/>
      <c r="D218" s="84"/>
      <c r="E218" s="84"/>
      <c r="F218" s="84"/>
    </row>
    <row r="219" spans="1:6" x14ac:dyDescent="0.2">
      <c r="A219" s="140"/>
      <c r="B219" s="84"/>
      <c r="C219" s="84"/>
      <c r="D219" s="84"/>
      <c r="E219" s="84"/>
      <c r="F219" s="84"/>
    </row>
    <row r="220" spans="1:6" x14ac:dyDescent="0.25">
      <c r="A220" s="141" t="str">
        <f>"Subtotal " &amp; A214</f>
        <v>Subtotal Equipment</v>
      </c>
      <c r="B220" s="98">
        <f ca="1">SUBTOTAL(9,B215:OFFSET(B220,-1,0))</f>
        <v>0</v>
      </c>
      <c r="C220" s="98">
        <f ca="1">SUBTOTAL(9,C215:OFFSET(C220,-1,0))</f>
        <v>0</v>
      </c>
      <c r="D220" s="98">
        <f ca="1">SUBTOTAL(9,D215:OFFSET(D220,-1,0))</f>
        <v>0</v>
      </c>
      <c r="E220" s="98">
        <f ca="1">SUBTOTAL(9,E215:OFFSET(E220,-1,0))</f>
        <v>0</v>
      </c>
      <c r="F220" s="98">
        <f ca="1">SUBTOTAL(9,F215:OFFSET(F220,-1,0))</f>
        <v>0</v>
      </c>
    </row>
    <row r="221" spans="1:6" x14ac:dyDescent="0.25">
      <c r="A221" s="139" t="str">
        <f>INDEX(categories[Expense Categories],2)</f>
        <v>Training</v>
      </c>
      <c r="B221" s="100" t="s">
        <v>455</v>
      </c>
      <c r="C221" s="101"/>
      <c r="D221" s="101"/>
      <c r="E221" s="101"/>
      <c r="F221" s="102"/>
    </row>
    <row r="222" spans="1:6" x14ac:dyDescent="0.2">
      <c r="A222" s="140"/>
      <c r="B222" s="84"/>
      <c r="C222" s="84"/>
      <c r="D222" s="84"/>
      <c r="E222" s="84"/>
      <c r="F222" s="84"/>
    </row>
    <row r="223" spans="1:6" x14ac:dyDescent="0.2">
      <c r="A223" s="140"/>
      <c r="B223" s="84"/>
      <c r="C223" s="84"/>
      <c r="D223" s="84"/>
      <c r="E223" s="84"/>
      <c r="F223" s="84"/>
    </row>
    <row r="224" spans="1:6" x14ac:dyDescent="0.25">
      <c r="A224" s="141" t="str">
        <f>"Subtotal " &amp; A221</f>
        <v>Subtotal Training</v>
      </c>
      <c r="B224" s="98">
        <f ca="1">SUBTOTAL(9,B222:OFFSET(B224,-1,0))</f>
        <v>0</v>
      </c>
      <c r="C224" s="98">
        <f ca="1">SUBTOTAL(9,C222:OFFSET(C224,-1,0))</f>
        <v>0</v>
      </c>
      <c r="D224" s="98">
        <f ca="1">SUBTOTAL(9,D222:OFFSET(D224,-1,0))</f>
        <v>0</v>
      </c>
      <c r="E224" s="98">
        <f ca="1">SUBTOTAL(9,E222:OFFSET(E224,-1,0))</f>
        <v>0</v>
      </c>
      <c r="F224" s="98">
        <f ca="1">SUBTOTAL(9,F222:OFFSET(F224,-1,0))</f>
        <v>0</v>
      </c>
    </row>
    <row r="225" spans="1:6" x14ac:dyDescent="0.25">
      <c r="A225" s="139" t="str">
        <f>INDEX(categories[Expense Categories],3)</f>
        <v>Communication &amp; Publication</v>
      </c>
      <c r="B225" s="100"/>
      <c r="C225" s="101"/>
      <c r="D225" s="101"/>
      <c r="E225" s="101"/>
      <c r="F225" s="102"/>
    </row>
    <row r="226" spans="1:6" x14ac:dyDescent="0.2">
      <c r="A226" s="142" t="s">
        <v>456</v>
      </c>
      <c r="B226" s="84"/>
      <c r="C226" s="84"/>
      <c r="D226" s="84"/>
      <c r="E226" s="84"/>
      <c r="F226" s="84"/>
    </row>
    <row r="227" spans="1:6" x14ac:dyDescent="0.2">
      <c r="A227" s="142" t="s">
        <v>457</v>
      </c>
      <c r="B227" s="84"/>
      <c r="C227" s="84"/>
      <c r="D227" s="84"/>
      <c r="E227" s="84"/>
      <c r="F227" s="84"/>
    </row>
    <row r="228" spans="1:6" x14ac:dyDescent="0.2">
      <c r="A228" s="142" t="s">
        <v>458</v>
      </c>
      <c r="B228" s="84"/>
      <c r="C228" s="84"/>
      <c r="D228" s="84"/>
      <c r="E228" s="84"/>
      <c r="F228" s="84"/>
    </row>
    <row r="229" spans="1:6" x14ac:dyDescent="0.25">
      <c r="A229" s="141" t="str">
        <f>"Subtotal " &amp; A225</f>
        <v>Subtotal Communication &amp; Publication</v>
      </c>
      <c r="B229" s="98">
        <f ca="1">SUBTOTAL(9,B226:OFFSET(B229,-1,0))</f>
        <v>0</v>
      </c>
      <c r="C229" s="98">
        <f ca="1">SUBTOTAL(9,C226:OFFSET(C229,-1,0))</f>
        <v>0</v>
      </c>
      <c r="D229" s="98">
        <f ca="1">SUBTOTAL(9,D226:OFFSET(D229,-1,0))</f>
        <v>0</v>
      </c>
      <c r="E229" s="98">
        <f ca="1">SUBTOTAL(9,E226:OFFSET(E229,-1,0))</f>
        <v>0</v>
      </c>
      <c r="F229" s="98">
        <f ca="1">SUBTOTAL(9,F226:OFFSET(F229,-1,0))</f>
        <v>0</v>
      </c>
    </row>
    <row r="230" spans="1:6" x14ac:dyDescent="0.25">
      <c r="A230" s="139" t="str">
        <f>INDEX(categories[Expense Categories],4)</f>
        <v>Travel</v>
      </c>
      <c r="B230" s="100"/>
      <c r="C230" s="101"/>
      <c r="D230" s="101"/>
      <c r="E230" s="101"/>
      <c r="F230" s="102"/>
    </row>
    <row r="231" spans="1:6" x14ac:dyDescent="0.2">
      <c r="A231" s="140"/>
      <c r="B231" s="84"/>
      <c r="C231" s="84"/>
      <c r="D231" s="84"/>
      <c r="E231" s="84"/>
      <c r="F231" s="84"/>
    </row>
    <row r="232" spans="1:6" x14ac:dyDescent="0.2">
      <c r="A232" s="140"/>
      <c r="B232" s="84"/>
      <c r="C232" s="84"/>
      <c r="D232" s="84"/>
      <c r="E232" s="84"/>
      <c r="F232" s="84"/>
    </row>
    <row r="233" spans="1:6" x14ac:dyDescent="0.25">
      <c r="A233" s="141" t="str">
        <f>"Subtotal " &amp; A230</f>
        <v>Subtotal Travel</v>
      </c>
      <c r="B233" s="98">
        <f ca="1">SUBTOTAL(9,B231:OFFSET(B233,-1,0))</f>
        <v>0</v>
      </c>
      <c r="C233" s="98">
        <f ca="1">SUBTOTAL(9,C231:OFFSET(C233,-1,0))</f>
        <v>0</v>
      </c>
      <c r="D233" s="98">
        <f ca="1">SUBTOTAL(9,D231:OFFSET(D233,-1,0))</f>
        <v>0</v>
      </c>
      <c r="E233" s="98">
        <f ca="1">SUBTOTAL(9,E231:OFFSET(E233,-1,0))</f>
        <v>0</v>
      </c>
      <c r="F233" s="98">
        <f ca="1">SUBTOTAL(9,F231:OFFSET(F233,-1,0))</f>
        <v>0</v>
      </c>
    </row>
    <row r="234" spans="1:6" x14ac:dyDescent="0.25">
      <c r="A234" s="139" t="str">
        <f>INDEX(categories[Expense Categories],5)</f>
        <v>Consumables</v>
      </c>
      <c r="B234" s="100"/>
      <c r="C234" s="101"/>
      <c r="D234" s="101"/>
      <c r="E234" s="101"/>
      <c r="F234" s="102"/>
    </row>
    <row r="235" spans="1:6" x14ac:dyDescent="0.2">
      <c r="A235" s="140"/>
      <c r="B235" s="84"/>
      <c r="C235" s="84"/>
      <c r="D235" s="84"/>
      <c r="E235" s="84"/>
      <c r="F235" s="84"/>
    </row>
    <row r="236" spans="1:6" x14ac:dyDescent="0.2">
      <c r="A236" s="140"/>
      <c r="B236" s="84"/>
      <c r="C236" s="84"/>
      <c r="D236" s="84"/>
      <c r="E236" s="84"/>
      <c r="F236" s="84"/>
    </row>
    <row r="237" spans="1:6" x14ac:dyDescent="0.2">
      <c r="A237" s="140"/>
      <c r="B237" s="84"/>
      <c r="C237" s="84"/>
      <c r="D237" s="84"/>
      <c r="E237" s="84"/>
      <c r="F237" s="84"/>
    </row>
    <row r="238" spans="1:6" x14ac:dyDescent="0.25">
      <c r="A238" s="141" t="str">
        <f>"Subtotal " &amp; A234</f>
        <v>Subtotal Consumables</v>
      </c>
      <c r="B238" s="98">
        <f ca="1">SUBTOTAL(9,B235:OFFSET(B238,-1,0))</f>
        <v>0</v>
      </c>
      <c r="C238" s="98">
        <f ca="1">SUBTOTAL(9,C235:OFFSET(C238,-1,0))</f>
        <v>0</v>
      </c>
      <c r="D238" s="98">
        <f ca="1">SUBTOTAL(9,D235:OFFSET(D238,-1,0))</f>
        <v>0</v>
      </c>
      <c r="E238" s="98">
        <f ca="1">SUBTOTAL(9,E235:OFFSET(E238,-1,0))</f>
        <v>0</v>
      </c>
      <c r="F238" s="98">
        <f ca="1">SUBTOTAL(9,F235:OFFSET(F238,-1,0))</f>
        <v>0</v>
      </c>
    </row>
    <row r="239" spans="1:6" x14ac:dyDescent="0.25">
      <c r="A239" s="139" t="str">
        <f>INDEX(categories[Expense Categories],6)</f>
        <v>Other</v>
      </c>
      <c r="B239" s="100"/>
      <c r="C239" s="101"/>
      <c r="D239" s="101"/>
      <c r="E239" s="101"/>
      <c r="F239" s="102"/>
    </row>
    <row r="240" spans="1:6" x14ac:dyDescent="0.2">
      <c r="A240" s="140"/>
      <c r="B240" s="84"/>
      <c r="C240" s="84"/>
      <c r="D240" s="84"/>
      <c r="E240" s="84"/>
      <c r="F240" s="84"/>
    </row>
    <row r="241" spans="1:6" x14ac:dyDescent="0.2">
      <c r="A241" s="140"/>
      <c r="B241" s="84"/>
      <c r="C241" s="84"/>
      <c r="D241" s="84"/>
      <c r="E241" s="84"/>
      <c r="F241" s="84"/>
    </row>
    <row r="242" spans="1:6" x14ac:dyDescent="0.2">
      <c r="A242" s="140"/>
      <c r="B242" s="84"/>
      <c r="C242" s="84"/>
      <c r="D242" s="84"/>
      <c r="E242" s="84"/>
      <c r="F242" s="84"/>
    </row>
    <row r="243" spans="1:6" x14ac:dyDescent="0.2">
      <c r="A243" s="140"/>
      <c r="B243" s="84"/>
      <c r="C243" s="84"/>
      <c r="D243" s="84"/>
      <c r="E243" s="84"/>
      <c r="F243" s="84"/>
    </row>
    <row r="244" spans="1:6" x14ac:dyDescent="0.2">
      <c r="A244" s="140"/>
      <c r="B244" s="84"/>
      <c r="C244" s="84"/>
      <c r="D244" s="84"/>
      <c r="E244" s="84"/>
      <c r="F244" s="84"/>
    </row>
    <row r="245" spans="1:6" x14ac:dyDescent="0.2">
      <c r="A245" s="140"/>
      <c r="B245" s="84"/>
      <c r="C245" s="84"/>
      <c r="D245" s="84"/>
      <c r="E245" s="84"/>
      <c r="F245" s="84"/>
    </row>
    <row r="246" spans="1:6" x14ac:dyDescent="0.25">
      <c r="A246" s="141" t="str">
        <f>"Subtotal " &amp; A239</f>
        <v>Subtotal Other</v>
      </c>
      <c r="B246" s="98">
        <f ca="1">SUBTOTAL(9,B240:OFFSET(B246,-1,0))</f>
        <v>0</v>
      </c>
      <c r="C246" s="98">
        <f ca="1">SUBTOTAL(9,C240:OFFSET(C246,-1,0))</f>
        <v>0</v>
      </c>
      <c r="D246" s="98">
        <f ca="1">SUBTOTAL(9,D240:OFFSET(D246,-1,0))</f>
        <v>0</v>
      </c>
      <c r="E246" s="98">
        <f ca="1">SUBTOTAL(9,E240:OFFSET(E246,-1,0))</f>
        <v>0</v>
      </c>
      <c r="F246" s="98">
        <f ca="1">SUBTOTAL(9,F240:OFFSET(F246,-1,0))</f>
        <v>0</v>
      </c>
    </row>
    <row r="247" spans="1:6" x14ac:dyDescent="0.25">
      <c r="A247" s="139" t="str">
        <f>INDEX(categories[Expense Categories],7)</f>
        <v>Stipends</v>
      </c>
      <c r="B247" s="100"/>
      <c r="C247" s="101"/>
      <c r="D247" s="101"/>
      <c r="E247" s="101"/>
      <c r="F247" s="102"/>
    </row>
    <row r="248" spans="1:6" x14ac:dyDescent="0.2">
      <c r="A248" s="140"/>
      <c r="B248" s="84"/>
      <c r="C248" s="84"/>
      <c r="D248" s="84"/>
      <c r="E248" s="84"/>
      <c r="F248" s="84"/>
    </row>
    <row r="249" spans="1:6" x14ac:dyDescent="0.2">
      <c r="A249" s="140"/>
      <c r="B249" s="84"/>
      <c r="C249" s="84"/>
      <c r="D249" s="84"/>
      <c r="E249" s="84"/>
      <c r="F249" s="84"/>
    </row>
    <row r="250" spans="1:6" x14ac:dyDescent="0.2">
      <c r="A250" s="140"/>
      <c r="B250" s="84"/>
      <c r="C250" s="84"/>
      <c r="D250" s="84"/>
      <c r="E250" s="84"/>
      <c r="F250" s="84"/>
    </row>
    <row r="251" spans="1:6" x14ac:dyDescent="0.25">
      <c r="A251" s="141" t="str">
        <f>"Subtotal " &amp; A247</f>
        <v>Subtotal Stipends</v>
      </c>
      <c r="B251" s="99">
        <f ca="1">SUBTOTAL(9,B248:OFFSET(B251,-1,0))</f>
        <v>0</v>
      </c>
      <c r="C251" s="99">
        <f ca="1">SUBTOTAL(9,C248:OFFSET(C251,-1,0))</f>
        <v>0</v>
      </c>
      <c r="D251" s="99">
        <f ca="1">SUBTOTAL(9,D248:OFFSET(D251,-1,0))</f>
        <v>0</v>
      </c>
      <c r="E251" s="99">
        <f ca="1">SUBTOTAL(9,E248:OFFSET(E251,-1,0))</f>
        <v>0</v>
      </c>
      <c r="F251" s="99">
        <f ca="1">SUBTOTAL(9,F248:OFFSET(F251,-1,0))</f>
        <v>0</v>
      </c>
    </row>
    <row r="252" spans="1:6" x14ac:dyDescent="0.25">
      <c r="A252" s="139" t="str">
        <f>INDEX(categories[Expense Categories],8)</f>
        <v>Co-financing of personnel</v>
      </c>
      <c r="B252" s="100"/>
      <c r="C252" s="100"/>
      <c r="D252" s="100"/>
      <c r="E252" s="100"/>
      <c r="F252" s="100"/>
    </row>
    <row r="253" spans="1:6" x14ac:dyDescent="0.2">
      <c r="A253" s="140"/>
      <c r="B253" s="140"/>
      <c r="C253" s="140"/>
      <c r="D253" s="140"/>
      <c r="E253" s="140"/>
      <c r="F253" s="140"/>
    </row>
    <row r="254" spans="1:6" x14ac:dyDescent="0.2">
      <c r="A254" s="140"/>
      <c r="B254" s="140"/>
      <c r="C254" s="140"/>
      <c r="D254" s="140"/>
      <c r="E254" s="140"/>
      <c r="F254" s="140"/>
    </row>
    <row r="255" spans="1:6" x14ac:dyDescent="0.2">
      <c r="A255" s="140"/>
      <c r="B255" s="140"/>
      <c r="C255" s="140"/>
      <c r="D255" s="140"/>
      <c r="E255" s="140"/>
      <c r="F255" s="140"/>
    </row>
    <row r="256" spans="1:6" x14ac:dyDescent="0.25">
      <c r="A256" s="141" t="str">
        <f>"Subtotal " &amp; A252</f>
        <v>Subtotal Co-financing of personnel</v>
      </c>
      <c r="B256" s="99">
        <f ca="1">SUBTOTAL(9,B253:OFFSET(B256,-1,0))</f>
        <v>0</v>
      </c>
      <c r="C256" s="99">
        <f ca="1">SUBTOTAL(9,C253:OFFSET(C256,-1,0))</f>
        <v>0</v>
      </c>
      <c r="D256" s="99">
        <f ca="1">SUBTOTAL(9,D253:OFFSET(D256,-1,0))</f>
        <v>0</v>
      </c>
      <c r="E256" s="99">
        <f ca="1">SUBTOTAL(9,E253:OFFSET(E256,-1,0))</f>
        <v>0</v>
      </c>
      <c r="F256" s="99">
        <f ca="1">SUBTOTAL(9,F253:OFFSET(F256,-1,0))</f>
        <v>0</v>
      </c>
    </row>
    <row r="257" spans="1:6" x14ac:dyDescent="0.2">
      <c r="A257" s="144"/>
      <c r="B257" s="103"/>
      <c r="C257" s="103"/>
      <c r="D257" s="103"/>
      <c r="E257" s="103"/>
      <c r="F257" s="103"/>
    </row>
    <row r="258" spans="1:6" x14ac:dyDescent="0.25">
      <c r="A258" s="141" t="s">
        <v>459</v>
      </c>
      <c r="B258" s="99">
        <f ca="1">SUBTOTAL(9,B215:B257)</f>
        <v>0</v>
      </c>
      <c r="C258" s="99">
        <f ca="1">SUBTOTAL(9,C215:C257)</f>
        <v>0</v>
      </c>
      <c r="D258" s="99">
        <f ca="1">SUBTOTAL(9,D215:D257)</f>
        <v>0</v>
      </c>
      <c r="E258" s="99">
        <f ca="1">SUBTOTAL(9,E215:E257)</f>
        <v>0</v>
      </c>
      <c r="F258" s="99">
        <f ca="1">SUBTOTAL(9,F215:F257)</f>
        <v>0</v>
      </c>
    </row>
    <row r="259" spans="1:6" ht="38.25" x14ac:dyDescent="0.25">
      <c r="A259" s="143"/>
      <c r="B259" s="89"/>
      <c r="C259" s="89"/>
      <c r="D259" s="90" t="s">
        <v>460</v>
      </c>
      <c r="E259" s="90"/>
      <c r="F259" s="91">
        <f ca="1">SUM(B258:F258)</f>
        <v>0</v>
      </c>
    </row>
    <row r="261" spans="1:6" ht="18" x14ac:dyDescent="0.25">
      <c r="A261" s="128" t="str">
        <f>"SPS " &amp; spsRefNo &amp; ": " &amp; projectTitle</f>
        <v xml:space="preserve">SPS : </v>
      </c>
      <c r="B261" s="128"/>
      <c r="C261" s="129" t="s">
        <v>461</v>
      </c>
      <c r="D261" s="129"/>
      <c r="E261" s="129"/>
      <c r="F261" s="92" t="s">
        <v>468</v>
      </c>
    </row>
    <row r="262" spans="1:6" ht="25.5" x14ac:dyDescent="0.25">
      <c r="A262" s="93" t="str">
        <f>F261 &amp; " name"</f>
        <v>CoD name</v>
      </c>
      <c r="B262" s="130" t="s">
        <v>307</v>
      </c>
      <c r="C262" s="130"/>
      <c r="D262" s="130" t="s">
        <v>308</v>
      </c>
      <c r="E262" s="130"/>
      <c r="F262" s="93" t="s">
        <v>450</v>
      </c>
    </row>
    <row r="263" spans="1:6" x14ac:dyDescent="0.2">
      <c r="A263" s="136" t="str">
        <f>INDEX(directors[First],MATCH(F261,directors[Role],0)) &amp; " " &amp; INDEX(directors[Last],MATCH(F261,directors[Role],0))</f>
        <v xml:space="preserve"> </v>
      </c>
      <c r="B263" s="131">
        <f>INDEX(directors[Institution],MATCH(F261,directors[Role],0))</f>
        <v>0</v>
      </c>
      <c r="C263" s="131"/>
      <c r="D263" s="131">
        <f>INDEX(directors[Country],MATCH(F261,directors[Role],0))</f>
        <v>0</v>
      </c>
      <c r="E263" s="131"/>
      <c r="F263" s="94">
        <f>projectDuration</f>
        <v>0</v>
      </c>
    </row>
    <row r="264" spans="1:6" ht="15" x14ac:dyDescent="0.25">
      <c r="A264" s="137"/>
      <c r="B264" s="79"/>
      <c r="C264" s="79"/>
      <c r="D264" s="79"/>
      <c r="E264" s="79"/>
      <c r="F264" s="79"/>
    </row>
    <row r="265" spans="1:6" x14ac:dyDescent="0.25">
      <c r="A265" s="138" t="s">
        <v>453</v>
      </c>
      <c r="B265" s="95">
        <f>INDEX(milestoneDates[Expected Date (months post Kickoff)],MATCH(B266,milestoneDates[Milestone],0))</f>
        <v>6</v>
      </c>
      <c r="C265" s="95">
        <f>INDEX(milestoneDates[Expected Date (months post Kickoff)],MATCH(C266,milestoneDates[Milestone],0))</f>
        <v>0</v>
      </c>
      <c r="D265" s="95">
        <f>INDEX(milestoneDates[Expected Date (months post Kickoff)],MATCH(D266,milestoneDates[Milestone],0))</f>
        <v>0</v>
      </c>
      <c r="E265" s="95">
        <f>INDEX(milestoneDates[Expected Date (months post Kickoff)],MATCH(E266,milestoneDates[Milestone],0))</f>
        <v>0</v>
      </c>
      <c r="F265" s="95">
        <f>INDEX(milestoneDates[Expected Date (months post Kickoff)],MATCH(F266,milestoneDates[Milestone],0))</f>
        <v>0</v>
      </c>
    </row>
    <row r="266" spans="1:6" ht="25.5" x14ac:dyDescent="0.25">
      <c r="A266" s="96" t="s">
        <v>395</v>
      </c>
      <c r="B266" s="97" t="s">
        <v>407</v>
      </c>
      <c r="C266" s="97" t="s">
        <v>408</v>
      </c>
      <c r="D266" s="97" t="s">
        <v>409</v>
      </c>
      <c r="E266" s="97" t="s">
        <v>485</v>
      </c>
      <c r="F266" s="97" t="s">
        <v>410</v>
      </c>
    </row>
    <row r="267" spans="1:6" x14ac:dyDescent="0.25">
      <c r="A267" s="139" t="str">
        <f>INDEX(categories[Expense Categories],1)</f>
        <v>Equipment</v>
      </c>
      <c r="B267" s="100" t="s">
        <v>454</v>
      </c>
      <c r="C267" s="101"/>
      <c r="D267" s="101"/>
      <c r="E267" s="101"/>
      <c r="F267" s="102"/>
    </row>
    <row r="268" spans="1:6" x14ac:dyDescent="0.2">
      <c r="A268" s="140"/>
      <c r="B268" s="84"/>
      <c r="C268" s="84"/>
      <c r="D268" s="84"/>
      <c r="E268" s="84"/>
      <c r="F268" s="84"/>
    </row>
    <row r="269" spans="1:6" x14ac:dyDescent="0.2">
      <c r="A269" s="140"/>
      <c r="B269" s="84"/>
      <c r="C269" s="84"/>
      <c r="D269" s="84"/>
      <c r="E269" s="84"/>
      <c r="F269" s="84"/>
    </row>
    <row r="270" spans="1:6" x14ac:dyDescent="0.2">
      <c r="A270" s="140"/>
      <c r="B270" s="84"/>
      <c r="C270" s="84"/>
      <c r="D270" s="84"/>
      <c r="E270" s="84"/>
      <c r="F270" s="84"/>
    </row>
    <row r="271" spans="1:6" x14ac:dyDescent="0.2">
      <c r="A271" s="140"/>
      <c r="B271" s="84"/>
      <c r="C271" s="84"/>
      <c r="D271" s="84"/>
      <c r="E271" s="84"/>
      <c r="F271" s="84"/>
    </row>
    <row r="272" spans="1:6" x14ac:dyDescent="0.2">
      <c r="A272" s="140"/>
      <c r="B272" s="84"/>
      <c r="C272" s="84"/>
      <c r="D272" s="84"/>
      <c r="E272" s="84"/>
      <c r="F272" s="84"/>
    </row>
    <row r="273" spans="1:6" x14ac:dyDescent="0.25">
      <c r="A273" s="141" t="str">
        <f>"Subtotal " &amp; A267</f>
        <v>Subtotal Equipment</v>
      </c>
      <c r="B273" s="98">
        <f ca="1">SUBTOTAL(9,B268:OFFSET(B273,-1,0))</f>
        <v>0</v>
      </c>
      <c r="C273" s="98">
        <f ca="1">SUBTOTAL(9,C268:OFFSET(C273,-1,0))</f>
        <v>0</v>
      </c>
      <c r="D273" s="98">
        <f ca="1">SUBTOTAL(9,D268:OFFSET(D273,-1,0))</f>
        <v>0</v>
      </c>
      <c r="E273" s="98">
        <f ca="1">SUBTOTAL(9,E268:OFFSET(E273,-1,0))</f>
        <v>0</v>
      </c>
      <c r="F273" s="98">
        <f ca="1">SUBTOTAL(9,F268:OFFSET(F273,-1,0))</f>
        <v>0</v>
      </c>
    </row>
    <row r="274" spans="1:6" x14ac:dyDescent="0.25">
      <c r="A274" s="139" t="str">
        <f>INDEX(categories[Expense Categories],2)</f>
        <v>Training</v>
      </c>
      <c r="B274" s="100" t="s">
        <v>455</v>
      </c>
      <c r="C274" s="101"/>
      <c r="D274" s="101"/>
      <c r="E274" s="101"/>
      <c r="F274" s="102"/>
    </row>
    <row r="275" spans="1:6" x14ac:dyDescent="0.2">
      <c r="A275" s="140"/>
      <c r="B275" s="84"/>
      <c r="C275" s="84"/>
      <c r="D275" s="84"/>
      <c r="E275" s="84"/>
      <c r="F275" s="84"/>
    </row>
    <row r="276" spans="1:6" x14ac:dyDescent="0.2">
      <c r="A276" s="140"/>
      <c r="B276" s="84"/>
      <c r="C276" s="84"/>
      <c r="D276" s="84"/>
      <c r="E276" s="84"/>
      <c r="F276" s="84"/>
    </row>
    <row r="277" spans="1:6" x14ac:dyDescent="0.25">
      <c r="A277" s="141" t="str">
        <f>"Subtotal " &amp; A274</f>
        <v>Subtotal Training</v>
      </c>
      <c r="B277" s="98">
        <f ca="1">SUBTOTAL(9,B275:OFFSET(B277,-1,0))</f>
        <v>0</v>
      </c>
      <c r="C277" s="98">
        <f ca="1">SUBTOTAL(9,C275:OFFSET(C277,-1,0))</f>
        <v>0</v>
      </c>
      <c r="D277" s="98">
        <f ca="1">SUBTOTAL(9,D275:OFFSET(D277,-1,0))</f>
        <v>0</v>
      </c>
      <c r="E277" s="98">
        <f ca="1">SUBTOTAL(9,E275:OFFSET(E277,-1,0))</f>
        <v>0</v>
      </c>
      <c r="F277" s="98">
        <f ca="1">SUBTOTAL(9,F275:OFFSET(F277,-1,0))</f>
        <v>0</v>
      </c>
    </row>
    <row r="278" spans="1:6" x14ac:dyDescent="0.25">
      <c r="A278" s="139" t="str">
        <f>INDEX(categories[Expense Categories],3)</f>
        <v>Communication &amp; Publication</v>
      </c>
      <c r="B278" s="100"/>
      <c r="C278" s="101"/>
      <c r="D278" s="101"/>
      <c r="E278" s="101"/>
      <c r="F278" s="102"/>
    </row>
    <row r="279" spans="1:6" x14ac:dyDescent="0.2">
      <c r="A279" s="142" t="s">
        <v>456</v>
      </c>
      <c r="B279" s="84"/>
      <c r="C279" s="84"/>
      <c r="D279" s="84"/>
      <c r="E279" s="84"/>
      <c r="F279" s="84"/>
    </row>
    <row r="280" spans="1:6" x14ac:dyDescent="0.2">
      <c r="A280" s="142" t="s">
        <v>457</v>
      </c>
      <c r="B280" s="84"/>
      <c r="C280" s="84"/>
      <c r="D280" s="84"/>
      <c r="E280" s="84"/>
      <c r="F280" s="84"/>
    </row>
    <row r="281" spans="1:6" x14ac:dyDescent="0.2">
      <c r="A281" s="142" t="s">
        <v>458</v>
      </c>
      <c r="B281" s="84"/>
      <c r="C281" s="84"/>
      <c r="D281" s="84"/>
      <c r="E281" s="84"/>
      <c r="F281" s="84"/>
    </row>
    <row r="282" spans="1:6" x14ac:dyDescent="0.25">
      <c r="A282" s="141" t="str">
        <f>"Subtotal " &amp; A278</f>
        <v>Subtotal Communication &amp; Publication</v>
      </c>
      <c r="B282" s="98">
        <f ca="1">SUBTOTAL(9,B279:OFFSET(B282,-1,0))</f>
        <v>0</v>
      </c>
      <c r="C282" s="98">
        <f ca="1">SUBTOTAL(9,C279:OFFSET(C282,-1,0))</f>
        <v>0</v>
      </c>
      <c r="D282" s="98">
        <f ca="1">SUBTOTAL(9,D279:OFFSET(D282,-1,0))</f>
        <v>0</v>
      </c>
      <c r="E282" s="98">
        <f ca="1">SUBTOTAL(9,E279:OFFSET(E282,-1,0))</f>
        <v>0</v>
      </c>
      <c r="F282" s="98">
        <f ca="1">SUBTOTAL(9,F279:OFFSET(F282,-1,0))</f>
        <v>0</v>
      </c>
    </row>
    <row r="283" spans="1:6" x14ac:dyDescent="0.25">
      <c r="A283" s="139" t="str">
        <f>INDEX(categories[Expense Categories],4)</f>
        <v>Travel</v>
      </c>
      <c r="B283" s="100"/>
      <c r="C283" s="101"/>
      <c r="D283" s="101"/>
      <c r="E283" s="101"/>
      <c r="F283" s="102"/>
    </row>
    <row r="284" spans="1:6" x14ac:dyDescent="0.2">
      <c r="A284" s="140"/>
      <c r="B284" s="84"/>
      <c r="C284" s="84"/>
      <c r="D284" s="84"/>
      <c r="E284" s="84"/>
      <c r="F284" s="84"/>
    </row>
    <row r="285" spans="1:6" x14ac:dyDescent="0.2">
      <c r="A285" s="140"/>
      <c r="B285" s="84"/>
      <c r="C285" s="84"/>
      <c r="D285" s="84"/>
      <c r="E285" s="84"/>
      <c r="F285" s="84"/>
    </row>
    <row r="286" spans="1:6" x14ac:dyDescent="0.25">
      <c r="A286" s="141" t="str">
        <f>"Subtotal " &amp; A283</f>
        <v>Subtotal Travel</v>
      </c>
      <c r="B286" s="98">
        <f ca="1">SUBTOTAL(9,B284:OFFSET(B286,-1,0))</f>
        <v>0</v>
      </c>
      <c r="C286" s="98">
        <f ca="1">SUBTOTAL(9,C284:OFFSET(C286,-1,0))</f>
        <v>0</v>
      </c>
      <c r="D286" s="98">
        <f ca="1">SUBTOTAL(9,D284:OFFSET(D286,-1,0))</f>
        <v>0</v>
      </c>
      <c r="E286" s="98">
        <f ca="1">SUBTOTAL(9,E284:OFFSET(E286,-1,0))</f>
        <v>0</v>
      </c>
      <c r="F286" s="98">
        <f ca="1">SUBTOTAL(9,F284:OFFSET(F286,-1,0))</f>
        <v>0</v>
      </c>
    </row>
    <row r="287" spans="1:6" x14ac:dyDescent="0.25">
      <c r="A287" s="139" t="str">
        <f>INDEX(categories[Expense Categories],5)</f>
        <v>Consumables</v>
      </c>
      <c r="B287" s="100"/>
      <c r="C287" s="101"/>
      <c r="D287" s="101"/>
      <c r="E287" s="101"/>
      <c r="F287" s="102"/>
    </row>
    <row r="288" spans="1:6" x14ac:dyDescent="0.2">
      <c r="A288" s="140"/>
      <c r="B288" s="84"/>
      <c r="C288" s="84"/>
      <c r="D288" s="84"/>
      <c r="E288" s="84"/>
      <c r="F288" s="84"/>
    </row>
    <row r="289" spans="1:6" x14ac:dyDescent="0.2">
      <c r="A289" s="140"/>
      <c r="B289" s="84"/>
      <c r="C289" s="84"/>
      <c r="D289" s="84"/>
      <c r="E289" s="84"/>
      <c r="F289" s="84"/>
    </row>
    <row r="290" spans="1:6" x14ac:dyDescent="0.2">
      <c r="A290" s="140"/>
      <c r="B290" s="84"/>
      <c r="C290" s="84"/>
      <c r="D290" s="84"/>
      <c r="E290" s="84"/>
      <c r="F290" s="84"/>
    </row>
    <row r="291" spans="1:6" x14ac:dyDescent="0.25">
      <c r="A291" s="141" t="str">
        <f>"Subtotal " &amp; A287</f>
        <v>Subtotal Consumables</v>
      </c>
      <c r="B291" s="98">
        <f ca="1">SUBTOTAL(9,B288:OFFSET(B291,-1,0))</f>
        <v>0</v>
      </c>
      <c r="C291" s="98">
        <f ca="1">SUBTOTAL(9,C288:OFFSET(C291,-1,0))</f>
        <v>0</v>
      </c>
      <c r="D291" s="98">
        <f ca="1">SUBTOTAL(9,D288:OFFSET(D291,-1,0))</f>
        <v>0</v>
      </c>
      <c r="E291" s="98">
        <f ca="1">SUBTOTAL(9,E288:OFFSET(E291,-1,0))</f>
        <v>0</v>
      </c>
      <c r="F291" s="98">
        <f ca="1">SUBTOTAL(9,F288:OFFSET(F291,-1,0))</f>
        <v>0</v>
      </c>
    </row>
    <row r="292" spans="1:6" x14ac:dyDescent="0.25">
      <c r="A292" s="139" t="str">
        <f>INDEX(categories[Expense Categories],6)</f>
        <v>Other</v>
      </c>
      <c r="B292" s="100"/>
      <c r="C292" s="101"/>
      <c r="D292" s="101"/>
      <c r="E292" s="101"/>
      <c r="F292" s="102"/>
    </row>
    <row r="293" spans="1:6" x14ac:dyDescent="0.2">
      <c r="A293" s="140"/>
      <c r="B293" s="84"/>
      <c r="C293" s="84"/>
      <c r="D293" s="84"/>
      <c r="E293" s="84"/>
      <c r="F293" s="84"/>
    </row>
    <row r="294" spans="1:6" x14ac:dyDescent="0.2">
      <c r="A294" s="140"/>
      <c r="B294" s="84"/>
      <c r="C294" s="84"/>
      <c r="D294" s="84"/>
      <c r="E294" s="84"/>
      <c r="F294" s="84"/>
    </row>
    <row r="295" spans="1:6" x14ac:dyDescent="0.25">
      <c r="A295" s="141" t="str">
        <f>"Subtotal " &amp; A292</f>
        <v>Subtotal Other</v>
      </c>
      <c r="B295" s="98">
        <f ca="1">SUBTOTAL(9,B293:OFFSET(B295,-1,0))</f>
        <v>0</v>
      </c>
      <c r="C295" s="98">
        <f ca="1">SUBTOTAL(9,C293:OFFSET(C295,-1,0))</f>
        <v>0</v>
      </c>
      <c r="D295" s="98">
        <f ca="1">SUBTOTAL(9,D293:OFFSET(D295,-1,0))</f>
        <v>0</v>
      </c>
      <c r="E295" s="98">
        <f ca="1">SUBTOTAL(9,E293:OFFSET(E295,-1,0))</f>
        <v>0</v>
      </c>
      <c r="F295" s="98">
        <f ca="1">SUBTOTAL(9,F293:OFFSET(F295,-1,0))</f>
        <v>0</v>
      </c>
    </row>
    <row r="296" spans="1:6" x14ac:dyDescent="0.25">
      <c r="A296" s="139" t="str">
        <f>INDEX(categories[Expense Categories],7)</f>
        <v>Stipends</v>
      </c>
      <c r="B296" s="100"/>
      <c r="C296" s="101"/>
      <c r="D296" s="101"/>
      <c r="E296" s="101"/>
      <c r="F296" s="102"/>
    </row>
    <row r="297" spans="1:6" x14ac:dyDescent="0.2">
      <c r="A297" s="140"/>
      <c r="B297" s="84"/>
      <c r="C297" s="84"/>
      <c r="D297" s="84"/>
      <c r="E297" s="84"/>
      <c r="F297" s="84"/>
    </row>
    <row r="298" spans="1:6" x14ac:dyDescent="0.2">
      <c r="A298" s="140"/>
      <c r="B298" s="84"/>
      <c r="C298" s="84"/>
      <c r="D298" s="84"/>
      <c r="E298" s="84"/>
      <c r="F298" s="84"/>
    </row>
    <row r="299" spans="1:6" x14ac:dyDescent="0.2">
      <c r="A299" s="140"/>
      <c r="B299" s="84"/>
      <c r="C299" s="84"/>
      <c r="D299" s="84"/>
      <c r="E299" s="84"/>
      <c r="F299" s="84"/>
    </row>
    <row r="300" spans="1:6" x14ac:dyDescent="0.25">
      <c r="A300" s="141" t="str">
        <f>"Subtotal " &amp; A296</f>
        <v>Subtotal Stipends</v>
      </c>
      <c r="B300" s="99">
        <f ca="1">SUBTOTAL(9,B297:OFFSET(B300,-1,0))</f>
        <v>0</v>
      </c>
      <c r="C300" s="99">
        <f ca="1">SUBTOTAL(9,C297:OFFSET(C300,-1,0))</f>
        <v>0</v>
      </c>
      <c r="D300" s="99">
        <f ca="1">SUBTOTAL(9,D297:OFFSET(D300,-1,0))</f>
        <v>0</v>
      </c>
      <c r="E300" s="99">
        <f ca="1">SUBTOTAL(9,E297:OFFSET(E300,-1,0))</f>
        <v>0</v>
      </c>
      <c r="F300" s="99">
        <f ca="1">SUBTOTAL(9,F297:OFFSET(F300,-1,0))</f>
        <v>0</v>
      </c>
    </row>
    <row r="301" spans="1:6" x14ac:dyDescent="0.25">
      <c r="A301" s="139" t="str">
        <f>INDEX(categories[Expense Categories],8)</f>
        <v>Co-financing of personnel</v>
      </c>
      <c r="B301" s="100"/>
      <c r="C301" s="100"/>
      <c r="D301" s="100"/>
      <c r="E301" s="100"/>
      <c r="F301" s="100"/>
    </row>
    <row r="302" spans="1:6" x14ac:dyDescent="0.2">
      <c r="A302" s="140"/>
      <c r="B302" s="140"/>
      <c r="C302" s="140"/>
      <c r="D302" s="140"/>
      <c r="E302" s="140"/>
      <c r="F302" s="140"/>
    </row>
    <row r="303" spans="1:6" x14ac:dyDescent="0.2">
      <c r="A303" s="140"/>
      <c r="B303" s="140"/>
      <c r="C303" s="140"/>
      <c r="D303" s="140"/>
      <c r="E303" s="140"/>
      <c r="F303" s="140"/>
    </row>
    <row r="304" spans="1:6" x14ac:dyDescent="0.2">
      <c r="A304" s="140"/>
      <c r="B304" s="140"/>
      <c r="C304" s="140"/>
      <c r="D304" s="140"/>
      <c r="E304" s="140"/>
      <c r="F304" s="140"/>
    </row>
    <row r="305" spans="1:6" x14ac:dyDescent="0.25">
      <c r="A305" s="141" t="str">
        <f>"Subtotal " &amp; A301</f>
        <v>Subtotal Co-financing of personnel</v>
      </c>
      <c r="B305" s="99">
        <f ca="1">SUBTOTAL(9,B302:OFFSET(B305,-1,0))</f>
        <v>0</v>
      </c>
      <c r="C305" s="99">
        <f ca="1">SUBTOTAL(9,C302:OFFSET(C305,-1,0))</f>
        <v>0</v>
      </c>
      <c r="D305" s="99">
        <f ca="1">SUBTOTAL(9,D302:OFFSET(D305,-1,0))</f>
        <v>0</v>
      </c>
      <c r="E305" s="99">
        <f ca="1">SUBTOTAL(9,E302:OFFSET(E305,-1,0))</f>
        <v>0</v>
      </c>
      <c r="F305" s="99">
        <f ca="1">SUBTOTAL(9,F302:OFFSET(F305,-1,0))</f>
        <v>0</v>
      </c>
    </row>
    <row r="306" spans="1:6" x14ac:dyDescent="0.2">
      <c r="A306" s="144"/>
      <c r="B306" s="103"/>
      <c r="C306" s="103"/>
      <c r="D306" s="103"/>
      <c r="E306" s="103"/>
      <c r="F306" s="103"/>
    </row>
    <row r="307" spans="1:6" x14ac:dyDescent="0.25">
      <c r="A307" s="141" t="s">
        <v>459</v>
      </c>
      <c r="B307" s="99">
        <f ca="1">SUBTOTAL(9,B268:B306)</f>
        <v>0</v>
      </c>
      <c r="C307" s="99">
        <f ca="1">SUBTOTAL(9,C268:C306)</f>
        <v>0</v>
      </c>
      <c r="D307" s="99">
        <f ca="1">SUBTOTAL(9,D268:D306)</f>
        <v>0</v>
      </c>
      <c r="E307" s="99">
        <f ca="1">SUBTOTAL(9,E268:E306)</f>
        <v>0</v>
      </c>
      <c r="F307" s="99">
        <f ca="1">SUBTOTAL(9,F268:F306)</f>
        <v>0</v>
      </c>
    </row>
    <row r="308" spans="1:6" ht="38.25" x14ac:dyDescent="0.25">
      <c r="A308" s="143"/>
      <c r="B308" s="89"/>
      <c r="C308" s="89"/>
      <c r="D308" s="90" t="s">
        <v>460</v>
      </c>
      <c r="E308" s="90"/>
      <c r="F308" s="91">
        <f ca="1">SUM(B307:F307)</f>
        <v>0</v>
      </c>
    </row>
    <row r="310" spans="1:6" ht="18" x14ac:dyDescent="0.25">
      <c r="A310" s="128" t="str">
        <f>"SPS " &amp; spsRefNo &amp; ": " &amp; projectTitle</f>
        <v xml:space="preserve">SPS : </v>
      </c>
      <c r="B310" s="128"/>
      <c r="C310" s="129" t="s">
        <v>461</v>
      </c>
      <c r="D310" s="129"/>
      <c r="E310" s="129"/>
      <c r="F310" s="92" t="s">
        <v>469</v>
      </c>
    </row>
    <row r="311" spans="1:6" ht="25.5" x14ac:dyDescent="0.25">
      <c r="A311" s="93" t="str">
        <f>F310 &amp; " name"</f>
        <v>CoE name</v>
      </c>
      <c r="B311" s="130" t="s">
        <v>307</v>
      </c>
      <c r="C311" s="130"/>
      <c r="D311" s="130" t="s">
        <v>308</v>
      </c>
      <c r="E311" s="130"/>
      <c r="F311" s="93" t="s">
        <v>450</v>
      </c>
    </row>
    <row r="312" spans="1:6" x14ac:dyDescent="0.2">
      <c r="A312" s="136" t="str">
        <f>INDEX(directors[First],MATCH(F310,directors[Role],0)) &amp; " " &amp; INDEX(directors[Last],MATCH(F310,directors[Role],0))</f>
        <v xml:space="preserve"> </v>
      </c>
      <c r="B312" s="131">
        <f>INDEX(directors[Institution],MATCH(F310,directors[Role],0))</f>
        <v>0</v>
      </c>
      <c r="C312" s="131"/>
      <c r="D312" s="131">
        <f>INDEX(directors[Country],MATCH(F310,directors[Role],0))</f>
        <v>0</v>
      </c>
      <c r="E312" s="131"/>
      <c r="F312" s="94">
        <f>projectDuration</f>
        <v>0</v>
      </c>
    </row>
    <row r="313" spans="1:6" ht="15" x14ac:dyDescent="0.25">
      <c r="A313" s="137"/>
      <c r="B313" s="79"/>
      <c r="C313" s="79"/>
      <c r="D313" s="79"/>
      <c r="E313" s="79"/>
      <c r="F313" s="79"/>
    </row>
    <row r="314" spans="1:6" x14ac:dyDescent="0.25">
      <c r="A314" s="138" t="s">
        <v>453</v>
      </c>
      <c r="B314" s="95">
        <f>INDEX(milestoneDates[Expected Date (months post Kickoff)],MATCH(B315,milestoneDates[Milestone],0))</f>
        <v>6</v>
      </c>
      <c r="C314" s="95">
        <f>INDEX(milestoneDates[Expected Date (months post Kickoff)],MATCH(C315,milestoneDates[Milestone],0))</f>
        <v>0</v>
      </c>
      <c r="D314" s="95">
        <f>INDEX(milestoneDates[Expected Date (months post Kickoff)],MATCH(D315,milestoneDates[Milestone],0))</f>
        <v>0</v>
      </c>
      <c r="E314" s="95">
        <f>INDEX(milestoneDates[Expected Date (months post Kickoff)],MATCH(E315,milestoneDates[Milestone],0))</f>
        <v>0</v>
      </c>
      <c r="F314" s="95">
        <f>INDEX(milestoneDates[Expected Date (months post Kickoff)],MATCH(F315,milestoneDates[Milestone],0))</f>
        <v>0</v>
      </c>
    </row>
    <row r="315" spans="1:6" ht="25.5" x14ac:dyDescent="0.25">
      <c r="A315" s="96" t="s">
        <v>395</v>
      </c>
      <c r="B315" s="97" t="s">
        <v>407</v>
      </c>
      <c r="C315" s="97" t="s">
        <v>408</v>
      </c>
      <c r="D315" s="97" t="s">
        <v>409</v>
      </c>
      <c r="E315" s="97" t="s">
        <v>485</v>
      </c>
      <c r="F315" s="97" t="s">
        <v>410</v>
      </c>
    </row>
    <row r="316" spans="1:6" x14ac:dyDescent="0.25">
      <c r="A316" s="139" t="str">
        <f>INDEX(categories[Expense Categories],1)</f>
        <v>Equipment</v>
      </c>
      <c r="B316" s="100" t="s">
        <v>454</v>
      </c>
      <c r="C316" s="101"/>
      <c r="D316" s="101"/>
      <c r="E316" s="101"/>
      <c r="F316" s="102"/>
    </row>
    <row r="317" spans="1:6" x14ac:dyDescent="0.2">
      <c r="A317" s="140"/>
      <c r="B317" s="84"/>
      <c r="C317" s="84"/>
      <c r="D317" s="84"/>
      <c r="E317" s="84"/>
      <c r="F317" s="84"/>
    </row>
    <row r="318" spans="1:6" x14ac:dyDescent="0.2">
      <c r="A318" s="140"/>
      <c r="B318" s="84"/>
      <c r="C318" s="84"/>
      <c r="D318" s="84"/>
      <c r="E318" s="84"/>
      <c r="F318" s="84"/>
    </row>
    <row r="319" spans="1:6" x14ac:dyDescent="0.2">
      <c r="A319" s="140"/>
      <c r="B319" s="84"/>
      <c r="C319" s="84"/>
      <c r="D319" s="84"/>
      <c r="E319" s="84"/>
      <c r="F319" s="84"/>
    </row>
    <row r="320" spans="1:6" x14ac:dyDescent="0.2">
      <c r="A320" s="140"/>
      <c r="B320" s="84"/>
      <c r="C320" s="84"/>
      <c r="D320" s="84"/>
      <c r="E320" s="84"/>
      <c r="F320" s="84"/>
    </row>
    <row r="321" spans="1:6" x14ac:dyDescent="0.2">
      <c r="A321" s="140"/>
      <c r="B321" s="84"/>
      <c r="C321" s="84"/>
      <c r="D321" s="84"/>
      <c r="E321" s="84"/>
      <c r="F321" s="84"/>
    </row>
    <row r="322" spans="1:6" x14ac:dyDescent="0.25">
      <c r="A322" s="141" t="str">
        <f>"Subtotal " &amp; A316</f>
        <v>Subtotal Equipment</v>
      </c>
      <c r="B322" s="98">
        <f ca="1">SUBTOTAL(9,B317:OFFSET(B322,-1,0))</f>
        <v>0</v>
      </c>
      <c r="C322" s="98">
        <f ca="1">SUBTOTAL(9,C317:OFFSET(C322,-1,0))</f>
        <v>0</v>
      </c>
      <c r="D322" s="98">
        <f ca="1">SUBTOTAL(9,D317:OFFSET(D322,-1,0))</f>
        <v>0</v>
      </c>
      <c r="E322" s="98">
        <f ca="1">SUBTOTAL(9,E317:OFFSET(E322,-1,0))</f>
        <v>0</v>
      </c>
      <c r="F322" s="98">
        <f ca="1">SUBTOTAL(9,F317:OFFSET(F322,-1,0))</f>
        <v>0</v>
      </c>
    </row>
    <row r="323" spans="1:6" x14ac:dyDescent="0.25">
      <c r="A323" s="139" t="str">
        <f>INDEX(categories[Expense Categories],2)</f>
        <v>Training</v>
      </c>
      <c r="B323" s="100" t="s">
        <v>455</v>
      </c>
      <c r="C323" s="101"/>
      <c r="D323" s="101"/>
      <c r="E323" s="101"/>
      <c r="F323" s="102"/>
    </row>
    <row r="324" spans="1:6" x14ac:dyDescent="0.2">
      <c r="A324" s="140"/>
      <c r="B324" s="84"/>
      <c r="C324" s="84"/>
      <c r="D324" s="84"/>
      <c r="E324" s="84"/>
      <c r="F324" s="84"/>
    </row>
    <row r="325" spans="1:6" x14ac:dyDescent="0.2">
      <c r="A325" s="140"/>
      <c r="B325" s="84"/>
      <c r="C325" s="84"/>
      <c r="D325" s="84"/>
      <c r="E325" s="84"/>
      <c r="F325" s="84"/>
    </row>
    <row r="326" spans="1:6" x14ac:dyDescent="0.25">
      <c r="A326" s="141" t="str">
        <f>"Subtotal " &amp; A323</f>
        <v>Subtotal Training</v>
      </c>
      <c r="B326" s="98">
        <f ca="1">SUBTOTAL(9,B324:OFFSET(B326,-1,0))</f>
        <v>0</v>
      </c>
      <c r="C326" s="98">
        <f ca="1">SUBTOTAL(9,C324:OFFSET(C326,-1,0))</f>
        <v>0</v>
      </c>
      <c r="D326" s="98">
        <f ca="1">SUBTOTAL(9,D324:OFFSET(D326,-1,0))</f>
        <v>0</v>
      </c>
      <c r="E326" s="98">
        <f ca="1">SUBTOTAL(9,E324:OFFSET(E326,-1,0))</f>
        <v>0</v>
      </c>
      <c r="F326" s="98">
        <f ca="1">SUBTOTAL(9,F324:OFFSET(F326,-1,0))</f>
        <v>0</v>
      </c>
    </row>
    <row r="327" spans="1:6" x14ac:dyDescent="0.25">
      <c r="A327" s="139" t="str">
        <f>INDEX(categories[Expense Categories],3)</f>
        <v>Communication &amp; Publication</v>
      </c>
      <c r="B327" s="100"/>
      <c r="C327" s="101"/>
      <c r="D327" s="101"/>
      <c r="E327" s="101"/>
      <c r="F327" s="102"/>
    </row>
    <row r="328" spans="1:6" x14ac:dyDescent="0.2">
      <c r="A328" s="142" t="s">
        <v>456</v>
      </c>
      <c r="B328" s="84"/>
      <c r="C328" s="84"/>
      <c r="D328" s="84"/>
      <c r="E328" s="84"/>
      <c r="F328" s="84"/>
    </row>
    <row r="329" spans="1:6" x14ac:dyDescent="0.2">
      <c r="A329" s="142" t="s">
        <v>457</v>
      </c>
      <c r="B329" s="84"/>
      <c r="C329" s="84"/>
      <c r="D329" s="84"/>
      <c r="E329" s="84"/>
      <c r="F329" s="84"/>
    </row>
    <row r="330" spans="1:6" x14ac:dyDescent="0.2">
      <c r="A330" s="142" t="s">
        <v>458</v>
      </c>
      <c r="B330" s="84"/>
      <c r="C330" s="84"/>
      <c r="D330" s="84"/>
      <c r="E330" s="84"/>
      <c r="F330" s="84"/>
    </row>
    <row r="331" spans="1:6" x14ac:dyDescent="0.25">
      <c r="A331" s="141" t="str">
        <f>"Subtotal " &amp; A327</f>
        <v>Subtotal Communication &amp; Publication</v>
      </c>
      <c r="B331" s="98">
        <f>SUBTOTAL(9,B328:B330)</f>
        <v>0</v>
      </c>
      <c r="C331" s="98">
        <f>SUBTOTAL(9,C328:C330)</f>
        <v>0</v>
      </c>
      <c r="D331" s="98">
        <f>SUBTOTAL(9,D328:D330)</f>
        <v>0</v>
      </c>
      <c r="E331" s="98">
        <f>SUBTOTAL(9,E328:E330)</f>
        <v>0</v>
      </c>
      <c r="F331" s="98">
        <f>SUBTOTAL(9,F328:F330)</f>
        <v>0</v>
      </c>
    </row>
    <row r="332" spans="1:6" x14ac:dyDescent="0.25">
      <c r="A332" s="139" t="str">
        <f>INDEX(categories[Expense Categories],4)</f>
        <v>Travel</v>
      </c>
      <c r="B332" s="100"/>
      <c r="C332" s="101"/>
      <c r="D332" s="101"/>
      <c r="E332" s="101"/>
      <c r="F332" s="102"/>
    </row>
    <row r="333" spans="1:6" x14ac:dyDescent="0.2">
      <c r="A333" s="140"/>
      <c r="B333" s="84"/>
      <c r="C333" s="84"/>
      <c r="D333" s="84"/>
      <c r="E333" s="84"/>
      <c r="F333" s="84"/>
    </row>
    <row r="334" spans="1:6" x14ac:dyDescent="0.2">
      <c r="A334" s="140"/>
      <c r="B334" s="84"/>
      <c r="C334" s="84"/>
      <c r="D334" s="84"/>
      <c r="E334" s="84"/>
      <c r="F334" s="84"/>
    </row>
    <row r="335" spans="1:6" x14ac:dyDescent="0.25">
      <c r="A335" s="141" t="str">
        <f>"Subtotal " &amp; A332</f>
        <v>Subtotal Travel</v>
      </c>
      <c r="B335" s="98">
        <f ca="1">SUBTOTAL(9,B333:OFFSET(B335,-1,0))</f>
        <v>0</v>
      </c>
      <c r="C335" s="98">
        <f ca="1">SUBTOTAL(9,C333:OFFSET(C335,-1,0))</f>
        <v>0</v>
      </c>
      <c r="D335" s="98">
        <f ca="1">SUBTOTAL(9,D333:OFFSET(D335,-1,0))</f>
        <v>0</v>
      </c>
      <c r="E335" s="98">
        <f ca="1">SUBTOTAL(9,E333:OFFSET(E335,-1,0))</f>
        <v>0</v>
      </c>
      <c r="F335" s="98">
        <f ca="1">SUBTOTAL(9,F333:OFFSET(F335,-1,0))</f>
        <v>0</v>
      </c>
    </row>
    <row r="336" spans="1:6" x14ac:dyDescent="0.25">
      <c r="A336" s="139" t="str">
        <f>INDEX(categories[Expense Categories],5)</f>
        <v>Consumables</v>
      </c>
      <c r="B336" s="100"/>
      <c r="C336" s="101"/>
      <c r="D336" s="101"/>
      <c r="E336" s="101"/>
      <c r="F336" s="102"/>
    </row>
    <row r="337" spans="1:6" x14ac:dyDescent="0.2">
      <c r="A337" s="140"/>
      <c r="B337" s="84"/>
      <c r="C337" s="84"/>
      <c r="D337" s="84"/>
      <c r="E337" s="84"/>
      <c r="F337" s="84"/>
    </row>
    <row r="338" spans="1:6" x14ac:dyDescent="0.2">
      <c r="A338" s="140"/>
      <c r="B338" s="84"/>
      <c r="C338" s="84"/>
      <c r="D338" s="84"/>
      <c r="E338" s="84"/>
      <c r="F338" s="84"/>
    </row>
    <row r="339" spans="1:6" x14ac:dyDescent="0.2">
      <c r="A339" s="140"/>
      <c r="B339" s="84"/>
      <c r="C339" s="84"/>
      <c r="D339" s="84"/>
      <c r="E339" s="84"/>
      <c r="F339" s="84"/>
    </row>
    <row r="340" spans="1:6" x14ac:dyDescent="0.25">
      <c r="A340" s="141" t="str">
        <f>"Subtotal " &amp; A336</f>
        <v>Subtotal Consumables</v>
      </c>
      <c r="B340" s="98">
        <f ca="1">SUBTOTAL(9,B337:OFFSET(B340,-1,0))</f>
        <v>0</v>
      </c>
      <c r="C340" s="98">
        <f ca="1">SUBTOTAL(9,C337:OFFSET(C340,-1,0))</f>
        <v>0</v>
      </c>
      <c r="D340" s="98">
        <f ca="1">SUBTOTAL(9,D337:OFFSET(D340,-1,0))</f>
        <v>0</v>
      </c>
      <c r="E340" s="98">
        <f ca="1">SUBTOTAL(9,E337:OFFSET(E340,-1,0))</f>
        <v>0</v>
      </c>
      <c r="F340" s="98">
        <f ca="1">SUBTOTAL(9,F337:OFFSET(F340,-1,0))</f>
        <v>0</v>
      </c>
    </row>
    <row r="341" spans="1:6" x14ac:dyDescent="0.25">
      <c r="A341" s="139" t="str">
        <f>INDEX(categories[Expense Categories],6)</f>
        <v>Other</v>
      </c>
      <c r="B341" s="100"/>
      <c r="C341" s="101"/>
      <c r="D341" s="101"/>
      <c r="E341" s="101"/>
      <c r="F341" s="102"/>
    </row>
    <row r="342" spans="1:6" x14ac:dyDescent="0.2">
      <c r="A342" s="140"/>
      <c r="B342" s="84"/>
      <c r="C342" s="84"/>
      <c r="D342" s="84"/>
      <c r="E342" s="84"/>
      <c r="F342" s="84"/>
    </row>
    <row r="343" spans="1:6" x14ac:dyDescent="0.2">
      <c r="A343" s="140"/>
      <c r="B343" s="84"/>
      <c r="C343" s="84"/>
      <c r="D343" s="84"/>
      <c r="E343" s="84"/>
      <c r="F343" s="84"/>
    </row>
    <row r="344" spans="1:6" x14ac:dyDescent="0.25">
      <c r="A344" s="141" t="str">
        <f>"Subtotal " &amp; A341</f>
        <v>Subtotal Other</v>
      </c>
      <c r="B344" s="98">
        <f ca="1">SUBTOTAL(9,B342:OFFSET(B344,-1,0))</f>
        <v>0</v>
      </c>
      <c r="C344" s="98">
        <f ca="1">SUBTOTAL(9,C342:OFFSET(C344,-1,0))</f>
        <v>0</v>
      </c>
      <c r="D344" s="98">
        <f ca="1">SUBTOTAL(9,D342:OFFSET(D344,-1,0))</f>
        <v>0</v>
      </c>
      <c r="E344" s="98">
        <f ca="1">SUBTOTAL(9,E342:OFFSET(E344,-1,0))</f>
        <v>0</v>
      </c>
      <c r="F344" s="98">
        <f ca="1">SUBTOTAL(9,F342:OFFSET(F344,-1,0))</f>
        <v>0</v>
      </c>
    </row>
    <row r="345" spans="1:6" x14ac:dyDescent="0.25">
      <c r="A345" s="139" t="str">
        <f>INDEX(categories[Expense Categories],7)</f>
        <v>Stipends</v>
      </c>
      <c r="B345" s="100"/>
      <c r="C345" s="101"/>
      <c r="D345" s="101"/>
      <c r="E345" s="101"/>
      <c r="F345" s="102"/>
    </row>
    <row r="346" spans="1:6" x14ac:dyDescent="0.2">
      <c r="A346" s="140"/>
      <c r="B346" s="84"/>
      <c r="C346" s="84"/>
      <c r="D346" s="84"/>
      <c r="E346" s="84"/>
      <c r="F346" s="84"/>
    </row>
    <row r="347" spans="1:6" x14ac:dyDescent="0.2">
      <c r="A347" s="140"/>
      <c r="B347" s="84"/>
      <c r="C347" s="84"/>
      <c r="D347" s="84"/>
      <c r="E347" s="84"/>
      <c r="F347" s="84"/>
    </row>
    <row r="348" spans="1:6" x14ac:dyDescent="0.2">
      <c r="A348" s="140"/>
      <c r="B348" s="84"/>
      <c r="C348" s="84"/>
      <c r="D348" s="84"/>
      <c r="E348" s="84"/>
      <c r="F348" s="84"/>
    </row>
    <row r="349" spans="1:6" x14ac:dyDescent="0.25">
      <c r="A349" s="141" t="str">
        <f>"Subtotal " &amp; A345</f>
        <v>Subtotal Stipends</v>
      </c>
      <c r="B349" s="99">
        <f ca="1">SUBTOTAL(9,B346:OFFSET(B349,-1,0))</f>
        <v>0</v>
      </c>
      <c r="C349" s="99">
        <f ca="1">SUBTOTAL(9,C346:OFFSET(C349,-1,0))</f>
        <v>0</v>
      </c>
      <c r="D349" s="99">
        <f ca="1">SUBTOTAL(9,D346:OFFSET(D349,-1,0))</f>
        <v>0</v>
      </c>
      <c r="E349" s="99">
        <f ca="1">SUBTOTAL(9,E346:OFFSET(E349,-1,0))</f>
        <v>0</v>
      </c>
      <c r="F349" s="99">
        <f ca="1">SUBTOTAL(9,F346:OFFSET(F349,-1,0))</f>
        <v>0</v>
      </c>
    </row>
    <row r="350" spans="1:6" x14ac:dyDescent="0.25">
      <c r="A350" s="139" t="str">
        <f>INDEX(categories[Expense Categories],8)</f>
        <v>Co-financing of personnel</v>
      </c>
      <c r="B350" s="100"/>
      <c r="C350" s="100"/>
      <c r="D350" s="100"/>
      <c r="E350" s="100"/>
      <c r="F350" s="100"/>
    </row>
    <row r="351" spans="1:6" x14ac:dyDescent="0.2">
      <c r="A351" s="140"/>
      <c r="B351" s="140"/>
      <c r="C351" s="140"/>
      <c r="D351" s="140"/>
      <c r="E351" s="140"/>
      <c r="F351" s="140"/>
    </row>
    <row r="352" spans="1:6" x14ac:dyDescent="0.2">
      <c r="A352" s="140"/>
      <c r="B352" s="140"/>
      <c r="C352" s="140"/>
      <c r="D352" s="140"/>
      <c r="E352" s="140"/>
      <c r="F352" s="140"/>
    </row>
    <row r="353" spans="1:6" x14ac:dyDescent="0.2">
      <c r="A353" s="140"/>
      <c r="B353" s="140"/>
      <c r="C353" s="140"/>
      <c r="D353" s="140"/>
      <c r="E353" s="140"/>
      <c r="F353" s="140"/>
    </row>
    <row r="354" spans="1:6" x14ac:dyDescent="0.25">
      <c r="A354" s="141" t="str">
        <f>"Subtotal " &amp; A350</f>
        <v>Subtotal Co-financing of personnel</v>
      </c>
      <c r="B354" s="99">
        <f ca="1">SUBTOTAL(9,B351:OFFSET(B354,-1,0))</f>
        <v>0</v>
      </c>
      <c r="C354" s="99">
        <f ca="1">SUBTOTAL(9,C351:OFFSET(C354,-1,0))</f>
        <v>0</v>
      </c>
      <c r="D354" s="99">
        <f ca="1">SUBTOTAL(9,D351:OFFSET(D354,-1,0))</f>
        <v>0</v>
      </c>
      <c r="E354" s="99">
        <f ca="1">SUBTOTAL(9,E351:OFFSET(E354,-1,0))</f>
        <v>0</v>
      </c>
      <c r="F354" s="99">
        <f ca="1">SUBTOTAL(9,F351:OFFSET(F354,-1,0))</f>
        <v>0</v>
      </c>
    </row>
    <row r="355" spans="1:6" x14ac:dyDescent="0.2">
      <c r="A355" s="144"/>
      <c r="B355" s="103"/>
      <c r="C355" s="103"/>
      <c r="D355" s="103"/>
      <c r="E355" s="103"/>
      <c r="F355" s="103"/>
    </row>
    <row r="356" spans="1:6" x14ac:dyDescent="0.25">
      <c r="A356" s="141" t="s">
        <v>459</v>
      </c>
      <c r="B356" s="99">
        <f ca="1">SUBTOTAL(9,B317:B355)</f>
        <v>0</v>
      </c>
      <c r="C356" s="99">
        <f ca="1">SUBTOTAL(9,C317:C355)</f>
        <v>0</v>
      </c>
      <c r="D356" s="99">
        <f ca="1">SUBTOTAL(9,D317:D355)</f>
        <v>0</v>
      </c>
      <c r="E356" s="99">
        <f ca="1">SUBTOTAL(9,E317:E355)</f>
        <v>0</v>
      </c>
      <c r="F356" s="99">
        <f ca="1">SUBTOTAL(9,F317:F355)</f>
        <v>0</v>
      </c>
    </row>
    <row r="357" spans="1:6" ht="38.25" x14ac:dyDescent="0.25">
      <c r="A357" s="143"/>
      <c r="B357" s="89"/>
      <c r="C357" s="89"/>
      <c r="D357" s="90" t="s">
        <v>460</v>
      </c>
      <c r="E357" s="90"/>
      <c r="F357" s="91">
        <f ca="1">SUM(B356:F356)</f>
        <v>0</v>
      </c>
    </row>
    <row r="359" spans="1:6" ht="18" x14ac:dyDescent="0.25">
      <c r="A359" s="128" t="str">
        <f>"SPS " &amp; spsRefNo &amp; ": " &amp; projectTitle</f>
        <v xml:space="preserve">SPS : </v>
      </c>
      <c r="B359" s="128"/>
      <c r="C359" s="129" t="s">
        <v>461</v>
      </c>
      <c r="D359" s="129"/>
      <c r="E359" s="129"/>
      <c r="F359" s="92" t="s">
        <v>470</v>
      </c>
    </row>
    <row r="360" spans="1:6" ht="25.5" x14ac:dyDescent="0.25">
      <c r="A360" s="93" t="str">
        <f>F359 &amp; " name"</f>
        <v>CoF name</v>
      </c>
      <c r="B360" s="130" t="s">
        <v>307</v>
      </c>
      <c r="C360" s="130"/>
      <c r="D360" s="130" t="s">
        <v>308</v>
      </c>
      <c r="E360" s="130"/>
      <c r="F360" s="93" t="s">
        <v>450</v>
      </c>
    </row>
    <row r="361" spans="1:6" x14ac:dyDescent="0.2">
      <c r="A361" s="136" t="str">
        <f>INDEX(directors[First],MATCH(F359,directors[Role],0)) &amp; " " &amp; INDEX(directors[Last],MATCH(F359,directors[Role],0))</f>
        <v xml:space="preserve"> </v>
      </c>
      <c r="B361" s="131">
        <f>INDEX(directors[Institution],MATCH(F359,directors[Role],0))</f>
        <v>0</v>
      </c>
      <c r="C361" s="131"/>
      <c r="D361" s="131">
        <f>INDEX(directors[Country],MATCH(F359,directors[Role],0))</f>
        <v>0</v>
      </c>
      <c r="E361" s="131"/>
      <c r="F361" s="94">
        <f>projectDuration</f>
        <v>0</v>
      </c>
    </row>
    <row r="362" spans="1:6" ht="15" x14ac:dyDescent="0.25">
      <c r="A362" s="137"/>
      <c r="B362" s="79"/>
      <c r="C362" s="79"/>
      <c r="D362" s="79"/>
      <c r="E362" s="79"/>
      <c r="F362" s="79"/>
    </row>
    <row r="363" spans="1:6" x14ac:dyDescent="0.25">
      <c r="A363" s="138" t="s">
        <v>453</v>
      </c>
      <c r="B363" s="95">
        <f>INDEX(milestoneDates[Expected Date (months post Kickoff)],MATCH(B364,milestoneDates[Milestone],0))</f>
        <v>6</v>
      </c>
      <c r="C363" s="95">
        <f>INDEX(milestoneDates[Expected Date (months post Kickoff)],MATCH(C364,milestoneDates[Milestone],0))</f>
        <v>0</v>
      </c>
      <c r="D363" s="95">
        <f>INDEX(milestoneDates[Expected Date (months post Kickoff)],MATCH(D364,milestoneDates[Milestone],0))</f>
        <v>0</v>
      </c>
      <c r="E363" s="95">
        <f>INDEX(milestoneDates[Expected Date (months post Kickoff)],MATCH(E364,milestoneDates[Milestone],0))</f>
        <v>0</v>
      </c>
      <c r="F363" s="95">
        <f>INDEX(milestoneDates[Expected Date (months post Kickoff)],MATCH(F364,milestoneDates[Milestone],0))</f>
        <v>0</v>
      </c>
    </row>
    <row r="364" spans="1:6" ht="25.5" x14ac:dyDescent="0.25">
      <c r="A364" s="96" t="s">
        <v>395</v>
      </c>
      <c r="B364" s="97" t="s">
        <v>407</v>
      </c>
      <c r="C364" s="97" t="s">
        <v>408</v>
      </c>
      <c r="D364" s="97" t="s">
        <v>409</v>
      </c>
      <c r="E364" s="97" t="s">
        <v>485</v>
      </c>
      <c r="F364" s="97" t="s">
        <v>410</v>
      </c>
    </row>
    <row r="365" spans="1:6" x14ac:dyDescent="0.25">
      <c r="A365" s="139" t="str">
        <f>INDEX(categories[Expense Categories],1)</f>
        <v>Equipment</v>
      </c>
      <c r="B365" s="100" t="s">
        <v>454</v>
      </c>
      <c r="C365" s="101"/>
      <c r="D365" s="101"/>
      <c r="E365" s="101"/>
      <c r="F365" s="102"/>
    </row>
    <row r="366" spans="1:6" x14ac:dyDescent="0.2">
      <c r="A366" s="140"/>
      <c r="B366" s="84"/>
      <c r="C366" s="84"/>
      <c r="D366" s="84"/>
      <c r="E366" s="84"/>
      <c r="F366" s="84"/>
    </row>
    <row r="367" spans="1:6" x14ac:dyDescent="0.2">
      <c r="A367" s="140"/>
      <c r="B367" s="84"/>
      <c r="C367" s="84"/>
      <c r="D367" s="84"/>
      <c r="E367" s="84"/>
      <c r="F367" s="84"/>
    </row>
    <row r="368" spans="1:6" x14ac:dyDescent="0.2">
      <c r="A368" s="140"/>
      <c r="B368" s="84"/>
      <c r="C368" s="84"/>
      <c r="D368" s="84"/>
      <c r="E368" s="84"/>
      <c r="F368" s="84"/>
    </row>
    <row r="369" spans="1:6" x14ac:dyDescent="0.2">
      <c r="A369" s="140"/>
      <c r="B369" s="84"/>
      <c r="C369" s="84"/>
      <c r="D369" s="84"/>
      <c r="E369" s="84"/>
      <c r="F369" s="84"/>
    </row>
    <row r="370" spans="1:6" x14ac:dyDescent="0.2">
      <c r="A370" s="140"/>
      <c r="B370" s="84"/>
      <c r="C370" s="84"/>
      <c r="D370" s="84"/>
      <c r="E370" s="84"/>
      <c r="F370" s="84"/>
    </row>
    <row r="371" spans="1:6" x14ac:dyDescent="0.25">
      <c r="A371" s="141" t="str">
        <f>"Subtotal " &amp; A365</f>
        <v>Subtotal Equipment</v>
      </c>
      <c r="B371" s="98">
        <f ca="1">SUBTOTAL(9,B366:OFFSET(B371,-1,0))</f>
        <v>0</v>
      </c>
      <c r="C371" s="98">
        <f ca="1">SUBTOTAL(9,C366:OFFSET(C371,-1,0))</f>
        <v>0</v>
      </c>
      <c r="D371" s="98">
        <f ca="1">SUBTOTAL(9,D366:OFFSET(D371,-1,0))</f>
        <v>0</v>
      </c>
      <c r="E371" s="98">
        <f ca="1">SUBTOTAL(9,E366:OFFSET(E371,-1,0))</f>
        <v>0</v>
      </c>
      <c r="F371" s="98">
        <f ca="1">SUBTOTAL(9,F366:OFFSET(F371,-1,0))</f>
        <v>0</v>
      </c>
    </row>
    <row r="372" spans="1:6" x14ac:dyDescent="0.25">
      <c r="A372" s="139" t="str">
        <f>INDEX(categories[Expense Categories],2)</f>
        <v>Training</v>
      </c>
      <c r="B372" s="100" t="s">
        <v>455</v>
      </c>
      <c r="C372" s="101"/>
      <c r="D372" s="101"/>
      <c r="E372" s="101"/>
      <c r="F372" s="102"/>
    </row>
    <row r="373" spans="1:6" x14ac:dyDescent="0.2">
      <c r="A373" s="140"/>
      <c r="B373" s="84"/>
      <c r="C373" s="84"/>
      <c r="D373" s="84"/>
      <c r="E373" s="84"/>
      <c r="F373" s="84"/>
    </row>
    <row r="374" spans="1:6" x14ac:dyDescent="0.2">
      <c r="A374" s="140"/>
      <c r="B374" s="84"/>
      <c r="C374" s="84"/>
      <c r="D374" s="84"/>
      <c r="E374" s="84"/>
      <c r="F374" s="84"/>
    </row>
    <row r="375" spans="1:6" x14ac:dyDescent="0.25">
      <c r="A375" s="141" t="str">
        <f>"Subtotal " &amp; A372</f>
        <v>Subtotal Training</v>
      </c>
      <c r="B375" s="98">
        <f ca="1">SUBTOTAL(9,B373:OFFSET(B375,-1,0))</f>
        <v>0</v>
      </c>
      <c r="C375" s="98">
        <f ca="1">SUBTOTAL(9,C373:OFFSET(C375,-1,0))</f>
        <v>0</v>
      </c>
      <c r="D375" s="98">
        <f ca="1">SUBTOTAL(9,D373:OFFSET(D375,-1,0))</f>
        <v>0</v>
      </c>
      <c r="E375" s="98">
        <f ca="1">SUBTOTAL(9,E373:OFFSET(E375,-1,0))</f>
        <v>0</v>
      </c>
      <c r="F375" s="98">
        <f ca="1">SUBTOTAL(9,F373:OFFSET(F375,-1,0))</f>
        <v>0</v>
      </c>
    </row>
    <row r="376" spans="1:6" x14ac:dyDescent="0.25">
      <c r="A376" s="139" t="str">
        <f>INDEX(categories[Expense Categories],3)</f>
        <v>Communication &amp; Publication</v>
      </c>
      <c r="B376" s="100"/>
      <c r="C376" s="101"/>
      <c r="D376" s="101"/>
      <c r="E376" s="101"/>
      <c r="F376" s="102"/>
    </row>
    <row r="377" spans="1:6" x14ac:dyDescent="0.2">
      <c r="A377" s="142" t="s">
        <v>456</v>
      </c>
      <c r="B377" s="84"/>
      <c r="C377" s="84"/>
      <c r="D377" s="84"/>
      <c r="E377" s="84"/>
      <c r="F377" s="84"/>
    </row>
    <row r="378" spans="1:6" x14ac:dyDescent="0.2">
      <c r="A378" s="142" t="s">
        <v>457</v>
      </c>
      <c r="B378" s="84"/>
      <c r="C378" s="84"/>
      <c r="D378" s="84"/>
      <c r="E378" s="84"/>
      <c r="F378" s="84"/>
    </row>
    <row r="379" spans="1:6" x14ac:dyDescent="0.2">
      <c r="A379" s="142" t="s">
        <v>458</v>
      </c>
      <c r="B379" s="84"/>
      <c r="C379" s="84"/>
      <c r="D379" s="84"/>
      <c r="E379" s="84"/>
      <c r="F379" s="84"/>
    </row>
    <row r="380" spans="1:6" x14ac:dyDescent="0.25">
      <c r="A380" s="141" t="str">
        <f>"Subtotal " &amp; A376</f>
        <v>Subtotal Communication &amp; Publication</v>
      </c>
      <c r="B380" s="98">
        <f ca="1">SUBTOTAL(9,B377:OFFSET(B380,-1,0))</f>
        <v>0</v>
      </c>
      <c r="C380" s="98">
        <f ca="1">SUBTOTAL(9,C377:OFFSET(C380,-1,0))</f>
        <v>0</v>
      </c>
      <c r="D380" s="98">
        <f ca="1">SUBTOTAL(9,D377:OFFSET(D380,-1,0))</f>
        <v>0</v>
      </c>
      <c r="E380" s="98">
        <f ca="1">SUBTOTAL(9,E377:OFFSET(E380,-1,0))</f>
        <v>0</v>
      </c>
      <c r="F380" s="98">
        <f ca="1">SUBTOTAL(9,F377:OFFSET(F380,-1,0))</f>
        <v>0</v>
      </c>
    </row>
    <row r="381" spans="1:6" x14ac:dyDescent="0.25">
      <c r="A381" s="139" t="str">
        <f>INDEX(categories[Expense Categories],4)</f>
        <v>Travel</v>
      </c>
      <c r="B381" s="100"/>
      <c r="C381" s="101"/>
      <c r="D381" s="101"/>
      <c r="E381" s="101"/>
      <c r="F381" s="102"/>
    </row>
    <row r="382" spans="1:6" x14ac:dyDescent="0.2">
      <c r="A382" s="140"/>
      <c r="B382" s="84"/>
      <c r="C382" s="84"/>
      <c r="D382" s="84"/>
      <c r="E382" s="84"/>
      <c r="F382" s="84"/>
    </row>
    <row r="383" spans="1:6" x14ac:dyDescent="0.2">
      <c r="A383" s="140"/>
      <c r="B383" s="84"/>
      <c r="C383" s="84"/>
      <c r="D383" s="84"/>
      <c r="E383" s="84"/>
      <c r="F383" s="84"/>
    </row>
    <row r="384" spans="1:6" x14ac:dyDescent="0.25">
      <c r="A384" s="141" t="str">
        <f>"Subtotal " &amp; A381</f>
        <v>Subtotal Travel</v>
      </c>
      <c r="B384" s="98">
        <f ca="1">SUBTOTAL(9,B382:OFFSET(B384,-1,0))</f>
        <v>0</v>
      </c>
      <c r="C384" s="98">
        <f ca="1">SUBTOTAL(9,C382:OFFSET(C384,-1,0))</f>
        <v>0</v>
      </c>
      <c r="D384" s="98">
        <f ca="1">SUBTOTAL(9,D382:OFFSET(D384,-1,0))</f>
        <v>0</v>
      </c>
      <c r="E384" s="98">
        <f ca="1">SUBTOTAL(9,E382:OFFSET(E384,-1,0))</f>
        <v>0</v>
      </c>
      <c r="F384" s="98">
        <f ca="1">SUBTOTAL(9,F382:OFFSET(F384,-1,0))</f>
        <v>0</v>
      </c>
    </row>
    <row r="385" spans="1:6" x14ac:dyDescent="0.25">
      <c r="A385" s="139" t="str">
        <f>INDEX(categories[Expense Categories],5)</f>
        <v>Consumables</v>
      </c>
      <c r="B385" s="100"/>
      <c r="C385" s="101"/>
      <c r="D385" s="101"/>
      <c r="E385" s="101"/>
      <c r="F385" s="102"/>
    </row>
    <row r="386" spans="1:6" x14ac:dyDescent="0.2">
      <c r="A386" s="140"/>
      <c r="B386" s="84"/>
      <c r="C386" s="84"/>
      <c r="D386" s="84"/>
      <c r="E386" s="84"/>
      <c r="F386" s="84"/>
    </row>
    <row r="387" spans="1:6" x14ac:dyDescent="0.2">
      <c r="A387" s="140"/>
      <c r="B387" s="84"/>
      <c r="C387" s="84"/>
      <c r="D387" s="84"/>
      <c r="E387" s="84"/>
      <c r="F387" s="84"/>
    </row>
    <row r="388" spans="1:6" x14ac:dyDescent="0.2">
      <c r="A388" s="140"/>
      <c r="B388" s="84"/>
      <c r="C388" s="84"/>
      <c r="D388" s="84"/>
      <c r="E388" s="84"/>
      <c r="F388" s="84"/>
    </row>
    <row r="389" spans="1:6" x14ac:dyDescent="0.25">
      <c r="A389" s="141" t="str">
        <f>"Subtotal " &amp; A385</f>
        <v>Subtotal Consumables</v>
      </c>
      <c r="B389" s="98">
        <f ca="1">SUBTOTAL(9,B386:OFFSET(B389,-1,0))</f>
        <v>0</v>
      </c>
      <c r="C389" s="98">
        <f ca="1">SUBTOTAL(9,C386:OFFSET(C389,-1,0))</f>
        <v>0</v>
      </c>
      <c r="D389" s="98">
        <f ca="1">SUBTOTAL(9,D386:OFFSET(D389,-1,0))</f>
        <v>0</v>
      </c>
      <c r="E389" s="98">
        <f ca="1">SUBTOTAL(9,E386:OFFSET(E389,-1,0))</f>
        <v>0</v>
      </c>
      <c r="F389" s="98">
        <f ca="1">SUBTOTAL(9,F386:OFFSET(F389,-1,0))</f>
        <v>0</v>
      </c>
    </row>
    <row r="390" spans="1:6" x14ac:dyDescent="0.25">
      <c r="A390" s="139" t="str">
        <f>INDEX(categories[Expense Categories],6)</f>
        <v>Other</v>
      </c>
      <c r="B390" s="100"/>
      <c r="C390" s="101"/>
      <c r="D390" s="101"/>
      <c r="E390" s="101"/>
      <c r="F390" s="102"/>
    </row>
    <row r="391" spans="1:6" x14ac:dyDescent="0.2">
      <c r="A391" s="140"/>
      <c r="B391" s="84"/>
      <c r="C391" s="84"/>
      <c r="D391" s="84"/>
      <c r="E391" s="84"/>
      <c r="F391" s="84"/>
    </row>
    <row r="392" spans="1:6" x14ac:dyDescent="0.2">
      <c r="A392" s="140"/>
      <c r="B392" s="84"/>
      <c r="C392" s="84"/>
      <c r="D392" s="84"/>
      <c r="E392" s="84"/>
      <c r="F392" s="84"/>
    </row>
    <row r="393" spans="1:6" x14ac:dyDescent="0.25">
      <c r="A393" s="141" t="str">
        <f>"Subtotal " &amp; A390</f>
        <v>Subtotal Other</v>
      </c>
      <c r="B393" s="98">
        <f ca="1">SUBTOTAL(9,B391:OFFSET(B393,-1,0))</f>
        <v>0</v>
      </c>
      <c r="C393" s="98">
        <f ca="1">SUBTOTAL(9,C391:OFFSET(C393,-1,0))</f>
        <v>0</v>
      </c>
      <c r="D393" s="98">
        <f ca="1">SUBTOTAL(9,D391:OFFSET(D393,-1,0))</f>
        <v>0</v>
      </c>
      <c r="E393" s="98">
        <f ca="1">SUBTOTAL(9,E391:OFFSET(E393,-1,0))</f>
        <v>0</v>
      </c>
      <c r="F393" s="98">
        <f ca="1">SUBTOTAL(9,F391:OFFSET(F393,-1,0))</f>
        <v>0</v>
      </c>
    </row>
    <row r="394" spans="1:6" x14ac:dyDescent="0.25">
      <c r="A394" s="139" t="str">
        <f>INDEX(categories[Expense Categories],7)</f>
        <v>Stipends</v>
      </c>
      <c r="B394" s="100"/>
      <c r="C394" s="101"/>
      <c r="D394" s="101"/>
      <c r="E394" s="101"/>
      <c r="F394" s="102"/>
    </row>
    <row r="395" spans="1:6" x14ac:dyDescent="0.2">
      <c r="A395" s="140"/>
      <c r="B395" s="84"/>
      <c r="C395" s="84"/>
      <c r="D395" s="84"/>
      <c r="E395" s="84"/>
      <c r="F395" s="84"/>
    </row>
    <row r="396" spans="1:6" x14ac:dyDescent="0.2">
      <c r="A396" s="140"/>
      <c r="B396" s="84"/>
      <c r="C396" s="84"/>
      <c r="D396" s="84"/>
      <c r="E396" s="84"/>
      <c r="F396" s="84"/>
    </row>
    <row r="397" spans="1:6" x14ac:dyDescent="0.2">
      <c r="A397" s="140"/>
      <c r="B397" s="84"/>
      <c r="C397" s="84"/>
      <c r="D397" s="84"/>
      <c r="E397" s="84"/>
      <c r="F397" s="84"/>
    </row>
    <row r="398" spans="1:6" x14ac:dyDescent="0.25">
      <c r="A398" s="141" t="str">
        <f>"Subtotal " &amp; A394</f>
        <v>Subtotal Stipends</v>
      </c>
      <c r="B398" s="99">
        <f ca="1">SUBTOTAL(9,B395:OFFSET(B398,-1,0))</f>
        <v>0</v>
      </c>
      <c r="C398" s="99">
        <f ca="1">SUBTOTAL(9,C395:OFFSET(C398,-1,0))</f>
        <v>0</v>
      </c>
      <c r="D398" s="99">
        <f ca="1">SUBTOTAL(9,D395:OFFSET(D398,-1,0))</f>
        <v>0</v>
      </c>
      <c r="E398" s="99">
        <f ca="1">SUBTOTAL(9,E395:OFFSET(E398,-1,0))</f>
        <v>0</v>
      </c>
      <c r="F398" s="99">
        <f ca="1">SUBTOTAL(9,F395:OFFSET(F398,-1,0))</f>
        <v>0</v>
      </c>
    </row>
    <row r="399" spans="1:6" x14ac:dyDescent="0.25">
      <c r="A399" s="139" t="str">
        <f>INDEX(categories[Expense Categories],8)</f>
        <v>Co-financing of personnel</v>
      </c>
      <c r="B399" s="100"/>
      <c r="C399" s="100"/>
      <c r="D399" s="100"/>
      <c r="E399" s="100"/>
      <c r="F399" s="100"/>
    </row>
    <row r="400" spans="1:6" x14ac:dyDescent="0.2">
      <c r="A400" s="140"/>
      <c r="B400" s="140"/>
      <c r="C400" s="140"/>
      <c r="D400" s="140"/>
      <c r="E400" s="140"/>
      <c r="F400" s="140"/>
    </row>
    <row r="401" spans="1:6" x14ac:dyDescent="0.2">
      <c r="A401" s="140"/>
      <c r="B401" s="140"/>
      <c r="C401" s="140"/>
      <c r="D401" s="140"/>
      <c r="E401" s="140"/>
      <c r="F401" s="140"/>
    </row>
    <row r="402" spans="1:6" x14ac:dyDescent="0.2">
      <c r="A402" s="140"/>
      <c r="B402" s="140"/>
      <c r="C402" s="140"/>
      <c r="D402" s="140"/>
      <c r="E402" s="140"/>
      <c r="F402" s="140"/>
    </row>
    <row r="403" spans="1:6" x14ac:dyDescent="0.25">
      <c r="A403" s="141" t="str">
        <f>"Subtotal " &amp; A399</f>
        <v>Subtotal Co-financing of personnel</v>
      </c>
      <c r="B403" s="99">
        <f ca="1">SUBTOTAL(9,B400:OFFSET(B403,-1,0))</f>
        <v>0</v>
      </c>
      <c r="C403" s="99">
        <f ca="1">SUBTOTAL(9,C400:OFFSET(C403,-1,0))</f>
        <v>0</v>
      </c>
      <c r="D403" s="99">
        <f ca="1">SUBTOTAL(9,D400:OFFSET(D403,-1,0))</f>
        <v>0</v>
      </c>
      <c r="E403" s="99">
        <f ca="1">SUBTOTAL(9,E400:OFFSET(E403,-1,0))</f>
        <v>0</v>
      </c>
      <c r="F403" s="99">
        <f ca="1">SUBTOTAL(9,F400:OFFSET(F403,-1,0))</f>
        <v>0</v>
      </c>
    </row>
    <row r="404" spans="1:6" x14ac:dyDescent="0.2">
      <c r="A404" s="144"/>
      <c r="B404" s="103"/>
      <c r="C404" s="103"/>
      <c r="D404" s="103"/>
      <c r="E404" s="103"/>
      <c r="F404" s="103"/>
    </row>
    <row r="405" spans="1:6" x14ac:dyDescent="0.25">
      <c r="A405" s="141" t="s">
        <v>459</v>
      </c>
      <c r="B405" s="99">
        <f ca="1">SUBTOTAL(9,B366:B404)</f>
        <v>0</v>
      </c>
      <c r="C405" s="99">
        <f ca="1">SUBTOTAL(9,C366:C404)</f>
        <v>0</v>
      </c>
      <c r="D405" s="99">
        <f ca="1">SUBTOTAL(9,D366:D404)</f>
        <v>0</v>
      </c>
      <c r="E405" s="99">
        <f ca="1">SUBTOTAL(9,E366:E404)</f>
        <v>0</v>
      </c>
      <c r="F405" s="99">
        <f ca="1">SUBTOTAL(9,F366:F404)</f>
        <v>0</v>
      </c>
    </row>
    <row r="406" spans="1:6" ht="38.25" x14ac:dyDescent="0.25">
      <c r="A406" s="143"/>
      <c r="B406" s="89"/>
      <c r="C406" s="89"/>
      <c r="D406" s="90" t="s">
        <v>460</v>
      </c>
      <c r="E406" s="90"/>
      <c r="F406" s="91">
        <f ca="1">SUM(B405:F405)</f>
        <v>0</v>
      </c>
    </row>
    <row r="408" spans="1:6" ht="18" x14ac:dyDescent="0.25">
      <c r="A408" s="128" t="str">
        <f>"SPS " &amp; spsRefNo &amp; ": " &amp; projectTitle</f>
        <v xml:space="preserve">SPS : </v>
      </c>
      <c r="B408" s="128"/>
      <c r="C408" s="129" t="s">
        <v>461</v>
      </c>
      <c r="D408" s="129"/>
      <c r="E408" s="129"/>
      <c r="F408" s="92" t="s">
        <v>471</v>
      </c>
    </row>
    <row r="409" spans="1:6" ht="25.5" x14ac:dyDescent="0.25">
      <c r="A409" s="93" t="str">
        <f>F408 &amp; " name"</f>
        <v>CoG name</v>
      </c>
      <c r="B409" s="130" t="s">
        <v>307</v>
      </c>
      <c r="C409" s="130"/>
      <c r="D409" s="130" t="s">
        <v>308</v>
      </c>
      <c r="E409" s="130"/>
      <c r="F409" s="93" t="s">
        <v>450</v>
      </c>
    </row>
    <row r="410" spans="1:6" x14ac:dyDescent="0.2">
      <c r="A410" s="136" t="str">
        <f>INDEX(directors[First],MATCH(F408,directors[Role],0)) &amp; " " &amp; INDEX(directors[Last],MATCH(F408,directors[Role],0))</f>
        <v xml:space="preserve"> </v>
      </c>
      <c r="B410" s="131">
        <f>INDEX(directors[Institution],MATCH(F408,directors[Role],0))</f>
        <v>0</v>
      </c>
      <c r="C410" s="131"/>
      <c r="D410" s="131">
        <f>INDEX(directors[Country],MATCH(F408,directors[Role],0))</f>
        <v>0</v>
      </c>
      <c r="E410" s="131"/>
      <c r="F410" s="94">
        <f>projectDuration</f>
        <v>0</v>
      </c>
    </row>
    <row r="411" spans="1:6" ht="15" x14ac:dyDescent="0.25">
      <c r="A411" s="137"/>
      <c r="B411" s="79"/>
      <c r="C411" s="79"/>
      <c r="D411" s="79"/>
      <c r="E411" s="79"/>
      <c r="F411" s="79"/>
    </row>
    <row r="412" spans="1:6" x14ac:dyDescent="0.25">
      <c r="A412" s="138" t="s">
        <v>453</v>
      </c>
      <c r="B412" s="95">
        <f>INDEX(milestoneDates[Expected Date (months post Kickoff)],MATCH(B413,milestoneDates[Milestone],0))</f>
        <v>6</v>
      </c>
      <c r="C412" s="95">
        <f>INDEX(milestoneDates[Expected Date (months post Kickoff)],MATCH(C413,milestoneDates[Milestone],0))</f>
        <v>0</v>
      </c>
      <c r="D412" s="95">
        <f>INDEX(milestoneDates[Expected Date (months post Kickoff)],MATCH(D413,milestoneDates[Milestone],0))</f>
        <v>0</v>
      </c>
      <c r="E412" s="95">
        <f>INDEX(milestoneDates[Expected Date (months post Kickoff)],MATCH(E413,milestoneDates[Milestone],0))</f>
        <v>0</v>
      </c>
      <c r="F412" s="95">
        <f>INDEX(milestoneDates[Expected Date (months post Kickoff)],MATCH(F413,milestoneDates[Milestone],0))</f>
        <v>0</v>
      </c>
    </row>
    <row r="413" spans="1:6" ht="25.5" x14ac:dyDescent="0.25">
      <c r="A413" s="96" t="s">
        <v>395</v>
      </c>
      <c r="B413" s="97" t="s">
        <v>407</v>
      </c>
      <c r="C413" s="97" t="s">
        <v>408</v>
      </c>
      <c r="D413" s="97" t="s">
        <v>409</v>
      </c>
      <c r="E413" s="97" t="s">
        <v>485</v>
      </c>
      <c r="F413" s="97" t="s">
        <v>410</v>
      </c>
    </row>
    <row r="414" spans="1:6" x14ac:dyDescent="0.25">
      <c r="A414" s="139" t="str">
        <f>INDEX(categories[Expense Categories],1)</f>
        <v>Equipment</v>
      </c>
      <c r="B414" s="100" t="s">
        <v>454</v>
      </c>
      <c r="C414" s="101"/>
      <c r="D414" s="101"/>
      <c r="E414" s="101"/>
      <c r="F414" s="102"/>
    </row>
    <row r="415" spans="1:6" x14ac:dyDescent="0.2">
      <c r="A415" s="140"/>
      <c r="B415" s="84"/>
      <c r="C415" s="84"/>
      <c r="D415" s="84"/>
      <c r="E415" s="84"/>
      <c r="F415" s="84"/>
    </row>
    <row r="416" spans="1:6" x14ac:dyDescent="0.2">
      <c r="A416" s="140"/>
      <c r="B416" s="84"/>
      <c r="C416" s="84"/>
      <c r="D416" s="84"/>
      <c r="E416" s="84"/>
      <c r="F416" s="84"/>
    </row>
    <row r="417" spans="1:6" x14ac:dyDescent="0.2">
      <c r="A417" s="140"/>
      <c r="B417" s="84"/>
      <c r="C417" s="84"/>
      <c r="D417" s="84"/>
      <c r="E417" s="84"/>
      <c r="F417" s="84"/>
    </row>
    <row r="418" spans="1:6" x14ac:dyDescent="0.2">
      <c r="A418" s="140"/>
      <c r="B418" s="84"/>
      <c r="C418" s="84"/>
      <c r="D418" s="84"/>
      <c r="E418" s="84"/>
      <c r="F418" s="84"/>
    </row>
    <row r="419" spans="1:6" x14ac:dyDescent="0.2">
      <c r="A419" s="140"/>
      <c r="B419" s="84"/>
      <c r="C419" s="84"/>
      <c r="D419" s="84"/>
      <c r="E419" s="84"/>
      <c r="F419" s="84"/>
    </row>
    <row r="420" spans="1:6" x14ac:dyDescent="0.25">
      <c r="A420" s="141" t="str">
        <f>"Subtotal " &amp; A414</f>
        <v>Subtotal Equipment</v>
      </c>
      <c r="B420" s="98">
        <f ca="1">SUBTOTAL(9,B415:OFFSET(B420,-1,0))</f>
        <v>0</v>
      </c>
      <c r="C420" s="98">
        <f ca="1">SUBTOTAL(9,C415:OFFSET(C420,-1,0))</f>
        <v>0</v>
      </c>
      <c r="D420" s="98">
        <f ca="1">SUBTOTAL(9,D415:OFFSET(D420,-1,0))</f>
        <v>0</v>
      </c>
      <c r="E420" s="98">
        <f ca="1">SUBTOTAL(9,E415:OFFSET(E420,-1,0))</f>
        <v>0</v>
      </c>
      <c r="F420" s="98">
        <f ca="1">SUBTOTAL(9,F415:OFFSET(F420,-1,0))</f>
        <v>0</v>
      </c>
    </row>
    <row r="421" spans="1:6" x14ac:dyDescent="0.25">
      <c r="A421" s="139" t="str">
        <f>INDEX(categories[Expense Categories],2)</f>
        <v>Training</v>
      </c>
      <c r="B421" s="100" t="s">
        <v>455</v>
      </c>
      <c r="C421" s="101"/>
      <c r="D421" s="101"/>
      <c r="E421" s="101"/>
      <c r="F421" s="102"/>
    </row>
    <row r="422" spans="1:6" x14ac:dyDescent="0.2">
      <c r="A422" s="140"/>
      <c r="B422" s="84"/>
      <c r="C422" s="84"/>
      <c r="D422" s="84"/>
      <c r="E422" s="84"/>
      <c r="F422" s="84"/>
    </row>
    <row r="423" spans="1:6" x14ac:dyDescent="0.2">
      <c r="A423" s="140"/>
      <c r="B423" s="84"/>
      <c r="C423" s="84"/>
      <c r="D423" s="84"/>
      <c r="E423" s="84"/>
      <c r="F423" s="84"/>
    </row>
    <row r="424" spans="1:6" x14ac:dyDescent="0.25">
      <c r="A424" s="141" t="str">
        <f>"Subtotal " &amp; A421</f>
        <v>Subtotal Training</v>
      </c>
      <c r="B424" s="98">
        <f ca="1">SUBTOTAL(9,B422:OFFSET(B424,-1,0))</f>
        <v>0</v>
      </c>
      <c r="C424" s="98">
        <f ca="1">SUBTOTAL(9,C422:OFFSET(C424,-1,0))</f>
        <v>0</v>
      </c>
      <c r="D424" s="98">
        <f ca="1">SUBTOTAL(9,D422:OFFSET(D424,-1,0))</f>
        <v>0</v>
      </c>
      <c r="E424" s="98">
        <f ca="1">SUBTOTAL(9,E422:OFFSET(E424,-1,0))</f>
        <v>0</v>
      </c>
      <c r="F424" s="98">
        <f ca="1">SUBTOTAL(9,F422:OFFSET(F424,-1,0))</f>
        <v>0</v>
      </c>
    </row>
    <row r="425" spans="1:6" x14ac:dyDescent="0.25">
      <c r="A425" s="139" t="str">
        <f>INDEX(categories[Expense Categories],3)</f>
        <v>Communication &amp; Publication</v>
      </c>
      <c r="B425" s="100"/>
      <c r="C425" s="101"/>
      <c r="D425" s="101"/>
      <c r="E425" s="101"/>
      <c r="F425" s="102"/>
    </row>
    <row r="426" spans="1:6" x14ac:dyDescent="0.2">
      <c r="A426" s="142" t="s">
        <v>456</v>
      </c>
      <c r="B426" s="84"/>
      <c r="C426" s="84"/>
      <c r="D426" s="84"/>
      <c r="E426" s="84"/>
      <c r="F426" s="84"/>
    </row>
    <row r="427" spans="1:6" x14ac:dyDescent="0.2">
      <c r="A427" s="142" t="s">
        <v>457</v>
      </c>
      <c r="B427" s="84"/>
      <c r="C427" s="84"/>
      <c r="D427" s="84"/>
      <c r="E427" s="84"/>
      <c r="F427" s="84"/>
    </row>
    <row r="428" spans="1:6" x14ac:dyDescent="0.2">
      <c r="A428" s="142" t="s">
        <v>458</v>
      </c>
      <c r="B428" s="84"/>
      <c r="C428" s="84"/>
      <c r="D428" s="84"/>
      <c r="E428" s="84"/>
      <c r="F428" s="84"/>
    </row>
    <row r="429" spans="1:6" x14ac:dyDescent="0.25">
      <c r="A429" s="141" t="str">
        <f>"Subtotal " &amp; A425</f>
        <v>Subtotal Communication &amp; Publication</v>
      </c>
      <c r="B429" s="98">
        <f>SUBTOTAL(9,B426:B428)</f>
        <v>0</v>
      </c>
      <c r="C429" s="98">
        <f>SUBTOTAL(9,C426:C428)</f>
        <v>0</v>
      </c>
      <c r="D429" s="98">
        <f>SUBTOTAL(9,D426:D428)</f>
        <v>0</v>
      </c>
      <c r="E429" s="98">
        <f>SUBTOTAL(9,E426:E428)</f>
        <v>0</v>
      </c>
      <c r="F429" s="98">
        <f>SUBTOTAL(9,F426:F428)</f>
        <v>0</v>
      </c>
    </row>
    <row r="430" spans="1:6" x14ac:dyDescent="0.25">
      <c r="A430" s="139" t="str">
        <f>INDEX(categories[Expense Categories],4)</f>
        <v>Travel</v>
      </c>
      <c r="B430" s="100"/>
      <c r="C430" s="101"/>
      <c r="D430" s="101"/>
      <c r="E430" s="101"/>
      <c r="F430" s="102"/>
    </row>
    <row r="431" spans="1:6" x14ac:dyDescent="0.2">
      <c r="A431" s="140"/>
      <c r="B431" s="84"/>
      <c r="C431" s="84"/>
      <c r="D431" s="84"/>
      <c r="E431" s="84"/>
      <c r="F431" s="84"/>
    </row>
    <row r="432" spans="1:6" x14ac:dyDescent="0.2">
      <c r="A432" s="140"/>
      <c r="B432" s="84"/>
      <c r="C432" s="84"/>
      <c r="D432" s="84"/>
      <c r="E432" s="84"/>
      <c r="F432" s="84"/>
    </row>
    <row r="433" spans="1:6" x14ac:dyDescent="0.25">
      <c r="A433" s="141" t="str">
        <f>"Subtotal " &amp; A430</f>
        <v>Subtotal Travel</v>
      </c>
      <c r="B433" s="98">
        <f ca="1">SUBTOTAL(9,B431:OFFSET(B433,-1,0))</f>
        <v>0</v>
      </c>
      <c r="C433" s="98">
        <f ca="1">SUBTOTAL(9,C431:OFFSET(C433,-1,0))</f>
        <v>0</v>
      </c>
      <c r="D433" s="98">
        <f ca="1">SUBTOTAL(9,D431:OFFSET(D433,-1,0))</f>
        <v>0</v>
      </c>
      <c r="E433" s="98">
        <f ca="1">SUBTOTAL(9,E431:OFFSET(E433,-1,0))</f>
        <v>0</v>
      </c>
      <c r="F433" s="98">
        <f ca="1">SUBTOTAL(9,F431:OFFSET(F433,-1,0))</f>
        <v>0</v>
      </c>
    </row>
    <row r="434" spans="1:6" x14ac:dyDescent="0.25">
      <c r="A434" s="139" t="str">
        <f>INDEX(categories[Expense Categories],5)</f>
        <v>Consumables</v>
      </c>
      <c r="B434" s="100"/>
      <c r="C434" s="101"/>
      <c r="D434" s="101"/>
      <c r="E434" s="101"/>
      <c r="F434" s="102"/>
    </row>
    <row r="435" spans="1:6" x14ac:dyDescent="0.2">
      <c r="A435" s="140"/>
      <c r="B435" s="84"/>
      <c r="C435" s="84"/>
      <c r="D435" s="84"/>
      <c r="E435" s="84"/>
      <c r="F435" s="84"/>
    </row>
    <row r="436" spans="1:6" x14ac:dyDescent="0.2">
      <c r="A436" s="140"/>
      <c r="B436" s="84"/>
      <c r="C436" s="84"/>
      <c r="D436" s="84"/>
      <c r="E436" s="84"/>
      <c r="F436" s="84"/>
    </row>
    <row r="437" spans="1:6" x14ac:dyDescent="0.2">
      <c r="A437" s="140"/>
      <c r="B437" s="84"/>
      <c r="C437" s="84"/>
      <c r="D437" s="84"/>
      <c r="E437" s="84"/>
      <c r="F437" s="84"/>
    </row>
    <row r="438" spans="1:6" x14ac:dyDescent="0.25">
      <c r="A438" s="141" t="str">
        <f>"Subtotal " &amp; A434</f>
        <v>Subtotal Consumables</v>
      </c>
      <c r="B438" s="98">
        <f ca="1">SUBTOTAL(9,B435:OFFSET(B438,-1,0))</f>
        <v>0</v>
      </c>
      <c r="C438" s="98">
        <f ca="1">SUBTOTAL(9,C435:OFFSET(C438,-1,0))</f>
        <v>0</v>
      </c>
      <c r="D438" s="98">
        <f ca="1">SUBTOTAL(9,D435:OFFSET(D438,-1,0))</f>
        <v>0</v>
      </c>
      <c r="E438" s="98">
        <f ca="1">SUBTOTAL(9,E435:OFFSET(E438,-1,0))</f>
        <v>0</v>
      </c>
      <c r="F438" s="98">
        <f ca="1">SUBTOTAL(9,F435:OFFSET(F438,-1,0))</f>
        <v>0</v>
      </c>
    </row>
    <row r="439" spans="1:6" x14ac:dyDescent="0.25">
      <c r="A439" s="139" t="str">
        <f>INDEX(categories[Expense Categories],6)</f>
        <v>Other</v>
      </c>
      <c r="B439" s="100"/>
      <c r="C439" s="101"/>
      <c r="D439" s="101"/>
      <c r="E439" s="101"/>
      <c r="F439" s="102"/>
    </row>
    <row r="440" spans="1:6" x14ac:dyDescent="0.2">
      <c r="A440" s="140"/>
      <c r="B440" s="84"/>
      <c r="C440" s="84"/>
      <c r="D440" s="84"/>
      <c r="E440" s="84"/>
      <c r="F440" s="84"/>
    </row>
    <row r="441" spans="1:6" x14ac:dyDescent="0.2">
      <c r="A441" s="140"/>
      <c r="B441" s="84"/>
      <c r="C441" s="84"/>
      <c r="D441" s="84"/>
      <c r="E441" s="84"/>
      <c r="F441" s="84"/>
    </row>
    <row r="442" spans="1:6" x14ac:dyDescent="0.25">
      <c r="A442" s="141" t="str">
        <f>"Subtotal " &amp; A439</f>
        <v>Subtotal Other</v>
      </c>
      <c r="B442" s="98">
        <f ca="1">SUBTOTAL(9,B440:OFFSET(B442,-1,0))</f>
        <v>0</v>
      </c>
      <c r="C442" s="98">
        <f ca="1">SUBTOTAL(9,C440:OFFSET(C442,-1,0))</f>
        <v>0</v>
      </c>
      <c r="D442" s="98">
        <f ca="1">SUBTOTAL(9,D440:OFFSET(D442,-1,0))</f>
        <v>0</v>
      </c>
      <c r="E442" s="98">
        <f ca="1">SUBTOTAL(9,E440:OFFSET(E442,-1,0))</f>
        <v>0</v>
      </c>
      <c r="F442" s="98">
        <f ca="1">SUBTOTAL(9,F440:OFFSET(F442,-1,0))</f>
        <v>0</v>
      </c>
    </row>
    <row r="443" spans="1:6" x14ac:dyDescent="0.25">
      <c r="A443" s="139" t="str">
        <f>INDEX(categories[Expense Categories],7)</f>
        <v>Stipends</v>
      </c>
      <c r="B443" s="100"/>
      <c r="C443" s="101"/>
      <c r="D443" s="101"/>
      <c r="E443" s="101"/>
      <c r="F443" s="102"/>
    </row>
    <row r="444" spans="1:6" x14ac:dyDescent="0.2">
      <c r="A444" s="140"/>
      <c r="B444" s="84"/>
      <c r="C444" s="84"/>
      <c r="D444" s="84"/>
      <c r="E444" s="84"/>
      <c r="F444" s="84"/>
    </row>
    <row r="445" spans="1:6" x14ac:dyDescent="0.2">
      <c r="A445" s="140"/>
      <c r="B445" s="84"/>
      <c r="C445" s="84"/>
      <c r="D445" s="84"/>
      <c r="E445" s="84"/>
      <c r="F445" s="84"/>
    </row>
    <row r="446" spans="1:6" x14ac:dyDescent="0.2">
      <c r="A446" s="140"/>
      <c r="B446" s="84"/>
      <c r="C446" s="84"/>
      <c r="D446" s="84"/>
      <c r="E446" s="84"/>
      <c r="F446" s="84"/>
    </row>
    <row r="447" spans="1:6" x14ac:dyDescent="0.25">
      <c r="A447" s="141" t="str">
        <f>"Subtotal " &amp; A443</f>
        <v>Subtotal Stipends</v>
      </c>
      <c r="B447" s="99">
        <f ca="1">SUBTOTAL(9,B444:OFFSET(B447,-1,0))</f>
        <v>0</v>
      </c>
      <c r="C447" s="99">
        <f ca="1">SUBTOTAL(9,C444:OFFSET(C447,-1,0))</f>
        <v>0</v>
      </c>
      <c r="D447" s="99">
        <f ca="1">SUBTOTAL(9,D444:OFFSET(D447,-1,0))</f>
        <v>0</v>
      </c>
      <c r="E447" s="99">
        <f ca="1">SUBTOTAL(9,E444:OFFSET(E447,-1,0))</f>
        <v>0</v>
      </c>
      <c r="F447" s="99">
        <f ca="1">SUBTOTAL(9,F444:OFFSET(F447,-1,0))</f>
        <v>0</v>
      </c>
    </row>
    <row r="448" spans="1:6" x14ac:dyDescent="0.25">
      <c r="A448" s="139" t="str">
        <f>INDEX(categories[Expense Categories],8)</f>
        <v>Co-financing of personnel</v>
      </c>
      <c r="B448" s="100"/>
      <c r="C448" s="100"/>
      <c r="D448" s="100"/>
      <c r="E448" s="100"/>
      <c r="F448" s="100"/>
    </row>
    <row r="449" spans="1:6" x14ac:dyDescent="0.2">
      <c r="A449" s="140"/>
      <c r="B449" s="140"/>
      <c r="C449" s="140"/>
      <c r="D449" s="140"/>
      <c r="E449" s="140"/>
      <c r="F449" s="140"/>
    </row>
    <row r="450" spans="1:6" x14ac:dyDescent="0.2">
      <c r="A450" s="140"/>
      <c r="B450" s="140"/>
      <c r="C450" s="140"/>
      <c r="D450" s="140"/>
      <c r="E450" s="140"/>
      <c r="F450" s="140"/>
    </row>
    <row r="451" spans="1:6" x14ac:dyDescent="0.2">
      <c r="A451" s="140"/>
      <c r="B451" s="140"/>
      <c r="C451" s="140"/>
      <c r="D451" s="140"/>
      <c r="E451" s="140"/>
      <c r="F451" s="140"/>
    </row>
    <row r="452" spans="1:6" x14ac:dyDescent="0.25">
      <c r="A452" s="141" t="str">
        <f>"Subtotal " &amp; A448</f>
        <v>Subtotal Co-financing of personnel</v>
      </c>
      <c r="B452" s="99">
        <f ca="1">SUBTOTAL(9,B449:OFFSET(B452,-1,0))</f>
        <v>0</v>
      </c>
      <c r="C452" s="99">
        <f ca="1">SUBTOTAL(9,C449:OFFSET(C452,-1,0))</f>
        <v>0</v>
      </c>
      <c r="D452" s="99">
        <f ca="1">SUBTOTAL(9,D449:OFFSET(D452,-1,0))</f>
        <v>0</v>
      </c>
      <c r="E452" s="99">
        <f ca="1">SUBTOTAL(9,E449:OFFSET(E452,-1,0))</f>
        <v>0</v>
      </c>
      <c r="F452" s="99">
        <f ca="1">SUBTOTAL(9,F449:OFFSET(F452,-1,0))</f>
        <v>0</v>
      </c>
    </row>
    <row r="453" spans="1:6" x14ac:dyDescent="0.2">
      <c r="A453" s="144"/>
      <c r="B453" s="103"/>
      <c r="C453" s="103"/>
      <c r="D453" s="103"/>
      <c r="E453" s="103"/>
      <c r="F453" s="103"/>
    </row>
    <row r="454" spans="1:6" x14ac:dyDescent="0.25">
      <c r="A454" s="141" t="s">
        <v>459</v>
      </c>
      <c r="B454" s="99">
        <f ca="1">SUBTOTAL(9,B415:B453)</f>
        <v>0</v>
      </c>
      <c r="C454" s="99">
        <f ca="1">SUBTOTAL(9,C415:C453)</f>
        <v>0</v>
      </c>
      <c r="D454" s="99">
        <f ca="1">SUBTOTAL(9,D415:D453)</f>
        <v>0</v>
      </c>
      <c r="E454" s="99">
        <f ca="1">SUBTOTAL(9,E415:E453)</f>
        <v>0</v>
      </c>
      <c r="F454" s="99">
        <f ca="1">SUBTOTAL(9,F415:F453)</f>
        <v>0</v>
      </c>
    </row>
    <row r="455" spans="1:6" ht="38.25" x14ac:dyDescent="0.25">
      <c r="A455" s="143"/>
      <c r="B455" s="89"/>
      <c r="C455" s="89"/>
      <c r="D455" s="90" t="s">
        <v>460</v>
      </c>
      <c r="E455" s="90"/>
      <c r="F455" s="91">
        <f ca="1">SUM(B454:F454)</f>
        <v>0</v>
      </c>
    </row>
    <row r="457" spans="1:6" ht="18" x14ac:dyDescent="0.25">
      <c r="A457" s="128" t="str">
        <f>"SPS " &amp; spsRefNo &amp; ": " &amp; projectTitle</f>
        <v xml:space="preserve">SPS : </v>
      </c>
      <c r="B457" s="128"/>
      <c r="C457" s="129" t="s">
        <v>461</v>
      </c>
      <c r="D457" s="129"/>
      <c r="E457" s="129"/>
      <c r="F457" s="92" t="s">
        <v>467</v>
      </c>
    </row>
    <row r="458" spans="1:6" ht="25.5" x14ac:dyDescent="0.25">
      <c r="A458" s="93" t="str">
        <f>F457 &amp; " name"</f>
        <v>CoH name</v>
      </c>
      <c r="B458" s="130" t="s">
        <v>307</v>
      </c>
      <c r="C458" s="130"/>
      <c r="D458" s="130" t="s">
        <v>308</v>
      </c>
      <c r="E458" s="130"/>
      <c r="F458" s="93" t="s">
        <v>450</v>
      </c>
    </row>
    <row r="459" spans="1:6" x14ac:dyDescent="0.2">
      <c r="A459" s="136" t="str">
        <f>INDEX(directors[First],MATCH(F457,directors[Role],0)) &amp; " " &amp; INDEX(directors[Last],MATCH(F457,directors[Role],0))</f>
        <v xml:space="preserve"> </v>
      </c>
      <c r="B459" s="131">
        <f>INDEX(directors[Institution],MATCH(F457,directors[Role],0))</f>
        <v>0</v>
      </c>
      <c r="C459" s="131"/>
      <c r="D459" s="131">
        <f>INDEX(directors[Country],MATCH(F457,directors[Role],0))</f>
        <v>0</v>
      </c>
      <c r="E459" s="131"/>
      <c r="F459" s="94">
        <f>projectDuration</f>
        <v>0</v>
      </c>
    </row>
    <row r="460" spans="1:6" ht="15" x14ac:dyDescent="0.25">
      <c r="A460" s="137"/>
      <c r="B460" s="79"/>
      <c r="C460" s="79"/>
      <c r="D460" s="79"/>
      <c r="E460" s="79"/>
      <c r="F460" s="79"/>
    </row>
    <row r="461" spans="1:6" x14ac:dyDescent="0.25">
      <c r="A461" s="138" t="s">
        <v>453</v>
      </c>
      <c r="B461" s="95">
        <f>INDEX(milestoneDates[Expected Date (months post Kickoff)],MATCH(B462,milestoneDates[Milestone],0))</f>
        <v>6</v>
      </c>
      <c r="C461" s="95">
        <f>INDEX(milestoneDates[Expected Date (months post Kickoff)],MATCH(C462,milestoneDates[Milestone],0))</f>
        <v>0</v>
      </c>
      <c r="D461" s="95">
        <f>INDEX(milestoneDates[Expected Date (months post Kickoff)],MATCH(D462,milestoneDates[Milestone],0))</f>
        <v>0</v>
      </c>
      <c r="E461" s="95">
        <f>INDEX(milestoneDates[Expected Date (months post Kickoff)],MATCH(E462,milestoneDates[Milestone],0))</f>
        <v>0</v>
      </c>
      <c r="F461" s="95">
        <f>INDEX(milestoneDates[Expected Date (months post Kickoff)],MATCH(F462,milestoneDates[Milestone],0))</f>
        <v>0</v>
      </c>
    </row>
    <row r="462" spans="1:6" ht="25.5" x14ac:dyDescent="0.25">
      <c r="A462" s="96" t="s">
        <v>395</v>
      </c>
      <c r="B462" s="97" t="s">
        <v>407</v>
      </c>
      <c r="C462" s="97" t="s">
        <v>408</v>
      </c>
      <c r="D462" s="97" t="s">
        <v>409</v>
      </c>
      <c r="E462" s="97" t="s">
        <v>485</v>
      </c>
      <c r="F462" s="97" t="s">
        <v>410</v>
      </c>
    </row>
    <row r="463" spans="1:6" x14ac:dyDescent="0.25">
      <c r="A463" s="139" t="str">
        <f>INDEX(categories[Expense Categories],1)</f>
        <v>Equipment</v>
      </c>
      <c r="B463" s="100" t="s">
        <v>454</v>
      </c>
      <c r="C463" s="101"/>
      <c r="D463" s="101"/>
      <c r="E463" s="101"/>
      <c r="F463" s="102"/>
    </row>
    <row r="464" spans="1:6" x14ac:dyDescent="0.2">
      <c r="A464" s="140"/>
      <c r="B464" s="84"/>
      <c r="C464" s="84"/>
      <c r="D464" s="84"/>
      <c r="E464" s="84"/>
      <c r="F464" s="84"/>
    </row>
    <row r="465" spans="1:6" x14ac:dyDescent="0.2">
      <c r="A465" s="140"/>
      <c r="B465" s="84"/>
      <c r="C465" s="84"/>
      <c r="D465" s="84"/>
      <c r="E465" s="84"/>
      <c r="F465" s="84"/>
    </row>
    <row r="466" spans="1:6" x14ac:dyDescent="0.2">
      <c r="A466" s="140"/>
      <c r="B466" s="84"/>
      <c r="C466" s="84"/>
      <c r="D466" s="84"/>
      <c r="E466" s="84"/>
      <c r="F466" s="84"/>
    </row>
    <row r="467" spans="1:6" x14ac:dyDescent="0.2">
      <c r="A467" s="140"/>
      <c r="B467" s="84"/>
      <c r="C467" s="84"/>
      <c r="D467" s="84"/>
      <c r="E467" s="84"/>
      <c r="F467" s="84"/>
    </row>
    <row r="468" spans="1:6" x14ac:dyDescent="0.2">
      <c r="A468" s="140"/>
      <c r="B468" s="84"/>
      <c r="C468" s="84"/>
      <c r="D468" s="84"/>
      <c r="E468" s="84"/>
      <c r="F468" s="84"/>
    </row>
    <row r="469" spans="1:6" x14ac:dyDescent="0.25">
      <c r="A469" s="141" t="str">
        <f>"Subtotal " &amp; A463</f>
        <v>Subtotal Equipment</v>
      </c>
      <c r="B469" s="98">
        <f ca="1">SUBTOTAL(9,B464:OFFSET(B469,-1,0))</f>
        <v>0</v>
      </c>
      <c r="C469" s="98">
        <f ca="1">SUBTOTAL(9,C464:OFFSET(C469,-1,0))</f>
        <v>0</v>
      </c>
      <c r="D469" s="98">
        <f ca="1">SUBTOTAL(9,D464:OFFSET(D469,-1,0))</f>
        <v>0</v>
      </c>
      <c r="E469" s="98">
        <f ca="1">SUBTOTAL(9,E464:OFFSET(E469,-1,0))</f>
        <v>0</v>
      </c>
      <c r="F469" s="98">
        <f ca="1">SUBTOTAL(9,F464:OFFSET(F469,-1,0))</f>
        <v>0</v>
      </c>
    </row>
    <row r="470" spans="1:6" x14ac:dyDescent="0.25">
      <c r="A470" s="139" t="str">
        <f>INDEX(categories[Expense Categories],2)</f>
        <v>Training</v>
      </c>
      <c r="B470" s="100" t="s">
        <v>455</v>
      </c>
      <c r="C470" s="101"/>
      <c r="D470" s="101"/>
      <c r="E470" s="101"/>
      <c r="F470" s="102"/>
    </row>
    <row r="471" spans="1:6" x14ac:dyDescent="0.2">
      <c r="A471" s="140"/>
      <c r="B471" s="84"/>
      <c r="C471" s="84"/>
      <c r="D471" s="84"/>
      <c r="E471" s="84"/>
      <c r="F471" s="84"/>
    </row>
    <row r="472" spans="1:6" x14ac:dyDescent="0.2">
      <c r="A472" s="140"/>
      <c r="B472" s="84"/>
      <c r="C472" s="84"/>
      <c r="D472" s="84"/>
      <c r="E472" s="84"/>
      <c r="F472" s="84"/>
    </row>
    <row r="473" spans="1:6" x14ac:dyDescent="0.25">
      <c r="A473" s="141" t="str">
        <f>"Subtotal " &amp; A470</f>
        <v>Subtotal Training</v>
      </c>
      <c r="B473" s="98">
        <f ca="1">SUBTOTAL(9,B471:OFFSET(B473,-1,0))</f>
        <v>0</v>
      </c>
      <c r="C473" s="98">
        <f ca="1">SUBTOTAL(9,C471:OFFSET(C473,-1,0))</f>
        <v>0</v>
      </c>
      <c r="D473" s="98">
        <f ca="1">SUBTOTAL(9,D471:OFFSET(D473,-1,0))</f>
        <v>0</v>
      </c>
      <c r="E473" s="98">
        <f ca="1">SUBTOTAL(9,E471:OFFSET(E473,-1,0))</f>
        <v>0</v>
      </c>
      <c r="F473" s="98">
        <f ca="1">SUBTOTAL(9,F471:OFFSET(F473,-1,0))</f>
        <v>0</v>
      </c>
    </row>
    <row r="474" spans="1:6" x14ac:dyDescent="0.25">
      <c r="A474" s="139" t="str">
        <f>INDEX(categories[Expense Categories],3)</f>
        <v>Communication &amp; Publication</v>
      </c>
      <c r="B474" s="100"/>
      <c r="C474" s="101"/>
      <c r="D474" s="101"/>
      <c r="E474" s="101"/>
      <c r="F474" s="102"/>
    </row>
    <row r="475" spans="1:6" x14ac:dyDescent="0.2">
      <c r="A475" s="142" t="s">
        <v>456</v>
      </c>
      <c r="B475" s="84"/>
      <c r="C475" s="84"/>
      <c r="D475" s="84"/>
      <c r="E475" s="84"/>
      <c r="F475" s="84"/>
    </row>
    <row r="476" spans="1:6" x14ac:dyDescent="0.2">
      <c r="A476" s="142" t="s">
        <v>457</v>
      </c>
      <c r="B476" s="84"/>
      <c r="C476" s="84"/>
      <c r="D476" s="84"/>
      <c r="E476" s="84"/>
      <c r="F476" s="84"/>
    </row>
    <row r="477" spans="1:6" x14ac:dyDescent="0.2">
      <c r="A477" s="142" t="s">
        <v>458</v>
      </c>
      <c r="B477" s="84"/>
      <c r="C477" s="84"/>
      <c r="D477" s="84"/>
      <c r="E477" s="84"/>
      <c r="F477" s="84"/>
    </row>
    <row r="478" spans="1:6" x14ac:dyDescent="0.25">
      <c r="A478" s="141" t="str">
        <f>"Subtotal " &amp; A474</f>
        <v>Subtotal Communication &amp; Publication</v>
      </c>
      <c r="B478" s="98">
        <f ca="1">SUBTOTAL(9,B475:OFFSET(B478,-1,0))</f>
        <v>0</v>
      </c>
      <c r="C478" s="98">
        <f ca="1">SUBTOTAL(9,C475:OFFSET(C478,-1,0))</f>
        <v>0</v>
      </c>
      <c r="D478" s="98">
        <f ca="1">SUBTOTAL(9,D475:OFFSET(D478,-1,0))</f>
        <v>0</v>
      </c>
      <c r="E478" s="98">
        <f ca="1">SUBTOTAL(9,E475:OFFSET(E478,-1,0))</f>
        <v>0</v>
      </c>
      <c r="F478" s="98">
        <f ca="1">SUBTOTAL(9,F475:OFFSET(F478,-1,0))</f>
        <v>0</v>
      </c>
    </row>
    <row r="479" spans="1:6" x14ac:dyDescent="0.25">
      <c r="A479" s="139" t="str">
        <f>INDEX(categories[Expense Categories],4)</f>
        <v>Travel</v>
      </c>
      <c r="B479" s="100"/>
      <c r="C479" s="101"/>
      <c r="D479" s="101"/>
      <c r="E479" s="101"/>
      <c r="F479" s="102"/>
    </row>
    <row r="480" spans="1:6" x14ac:dyDescent="0.2">
      <c r="A480" s="140"/>
      <c r="B480" s="84"/>
      <c r="C480" s="84"/>
      <c r="D480" s="84"/>
      <c r="E480" s="84"/>
      <c r="F480" s="84"/>
    </row>
    <row r="481" spans="1:6" x14ac:dyDescent="0.2">
      <c r="A481" s="140"/>
      <c r="B481" s="84"/>
      <c r="C481" s="84"/>
      <c r="D481" s="84"/>
      <c r="E481" s="84"/>
      <c r="F481" s="84"/>
    </row>
    <row r="482" spans="1:6" x14ac:dyDescent="0.25">
      <c r="A482" s="141" t="str">
        <f>"Subtotal " &amp; A479</f>
        <v>Subtotal Travel</v>
      </c>
      <c r="B482" s="98">
        <f ca="1">SUBTOTAL(9,B480:OFFSET(B482,-1,0))</f>
        <v>0</v>
      </c>
      <c r="C482" s="98">
        <f ca="1">SUBTOTAL(9,C480:OFFSET(C482,-1,0))</f>
        <v>0</v>
      </c>
      <c r="D482" s="98">
        <f ca="1">SUBTOTAL(9,D480:OFFSET(D482,-1,0))</f>
        <v>0</v>
      </c>
      <c r="E482" s="98">
        <f ca="1">SUBTOTAL(9,E480:OFFSET(E482,-1,0))</f>
        <v>0</v>
      </c>
      <c r="F482" s="98">
        <f ca="1">SUBTOTAL(9,F480:OFFSET(F482,-1,0))</f>
        <v>0</v>
      </c>
    </row>
    <row r="483" spans="1:6" x14ac:dyDescent="0.25">
      <c r="A483" s="139" t="str">
        <f>INDEX(categories[Expense Categories],5)</f>
        <v>Consumables</v>
      </c>
      <c r="B483" s="100"/>
      <c r="C483" s="101"/>
      <c r="D483" s="101"/>
      <c r="E483" s="101"/>
      <c r="F483" s="102"/>
    </row>
    <row r="484" spans="1:6" x14ac:dyDescent="0.2">
      <c r="A484" s="140"/>
      <c r="B484" s="84"/>
      <c r="C484" s="84"/>
      <c r="D484" s="84"/>
      <c r="E484" s="84"/>
      <c r="F484" s="84"/>
    </row>
    <row r="485" spans="1:6" x14ac:dyDescent="0.2">
      <c r="A485" s="140"/>
      <c r="B485" s="84"/>
      <c r="C485" s="84"/>
      <c r="D485" s="84"/>
      <c r="E485" s="84"/>
      <c r="F485" s="84"/>
    </row>
    <row r="486" spans="1:6" x14ac:dyDescent="0.2">
      <c r="A486" s="140"/>
      <c r="B486" s="84"/>
      <c r="C486" s="84"/>
      <c r="D486" s="84"/>
      <c r="E486" s="84"/>
      <c r="F486" s="84"/>
    </row>
    <row r="487" spans="1:6" x14ac:dyDescent="0.25">
      <c r="A487" s="141" t="str">
        <f>"Subtotal " &amp; A483</f>
        <v>Subtotal Consumables</v>
      </c>
      <c r="B487" s="98">
        <f ca="1">SUBTOTAL(9,B484:OFFSET(B487,-1,0))</f>
        <v>0</v>
      </c>
      <c r="C487" s="98">
        <f ca="1">SUBTOTAL(9,C484:OFFSET(C487,-1,0))</f>
        <v>0</v>
      </c>
      <c r="D487" s="98">
        <f ca="1">SUBTOTAL(9,D484:OFFSET(D487,-1,0))</f>
        <v>0</v>
      </c>
      <c r="E487" s="98">
        <f ca="1">SUBTOTAL(9,E484:OFFSET(E487,-1,0))</f>
        <v>0</v>
      </c>
      <c r="F487" s="98">
        <f ca="1">SUBTOTAL(9,F484:OFFSET(F487,-1,0))</f>
        <v>0</v>
      </c>
    </row>
    <row r="488" spans="1:6" x14ac:dyDescent="0.25">
      <c r="A488" s="139" t="str">
        <f>INDEX(categories[Expense Categories],6)</f>
        <v>Other</v>
      </c>
      <c r="B488" s="100"/>
      <c r="C488" s="101"/>
      <c r="D488" s="101"/>
      <c r="E488" s="101"/>
      <c r="F488" s="102"/>
    </row>
    <row r="489" spans="1:6" x14ac:dyDescent="0.2">
      <c r="A489" s="140"/>
      <c r="B489" s="84"/>
      <c r="C489" s="84"/>
      <c r="D489" s="84"/>
      <c r="E489" s="84"/>
      <c r="F489" s="84"/>
    </row>
    <row r="490" spans="1:6" x14ac:dyDescent="0.2">
      <c r="A490" s="140"/>
      <c r="B490" s="84"/>
      <c r="C490" s="84"/>
      <c r="D490" s="84"/>
      <c r="E490" s="84"/>
      <c r="F490" s="84"/>
    </row>
    <row r="491" spans="1:6" x14ac:dyDescent="0.25">
      <c r="A491" s="141" t="str">
        <f>"Subtotal " &amp; A488</f>
        <v>Subtotal Other</v>
      </c>
      <c r="B491" s="98">
        <f ca="1">SUBTOTAL(9,B489:OFFSET(B491,-1,0))</f>
        <v>0</v>
      </c>
      <c r="C491" s="98">
        <f ca="1">SUBTOTAL(9,C489:OFFSET(C491,-1,0))</f>
        <v>0</v>
      </c>
      <c r="D491" s="98">
        <f ca="1">SUBTOTAL(9,D489:OFFSET(D491,-1,0))</f>
        <v>0</v>
      </c>
      <c r="E491" s="98">
        <f ca="1">SUBTOTAL(9,E489:OFFSET(E491,-1,0))</f>
        <v>0</v>
      </c>
      <c r="F491" s="98">
        <f ca="1">SUBTOTAL(9,F489:OFFSET(F491,-1,0))</f>
        <v>0</v>
      </c>
    </row>
    <row r="492" spans="1:6" x14ac:dyDescent="0.25">
      <c r="A492" s="139" t="str">
        <f>INDEX(categories[Expense Categories],7)</f>
        <v>Stipends</v>
      </c>
      <c r="B492" s="100"/>
      <c r="C492" s="101"/>
      <c r="D492" s="101"/>
      <c r="E492" s="101"/>
      <c r="F492" s="102"/>
    </row>
    <row r="493" spans="1:6" x14ac:dyDescent="0.2">
      <c r="A493" s="140"/>
      <c r="B493" s="84"/>
      <c r="C493" s="84"/>
      <c r="D493" s="84"/>
      <c r="E493" s="84"/>
      <c r="F493" s="84"/>
    </row>
    <row r="494" spans="1:6" x14ac:dyDescent="0.2">
      <c r="A494" s="140"/>
      <c r="B494" s="84"/>
      <c r="C494" s="84"/>
      <c r="D494" s="84"/>
      <c r="E494" s="84"/>
      <c r="F494" s="84"/>
    </row>
    <row r="495" spans="1:6" x14ac:dyDescent="0.2">
      <c r="A495" s="140"/>
      <c r="B495" s="84"/>
      <c r="C495" s="84"/>
      <c r="D495" s="84"/>
      <c r="E495" s="84"/>
      <c r="F495" s="84"/>
    </row>
    <row r="496" spans="1:6" x14ac:dyDescent="0.25">
      <c r="A496" s="141" t="str">
        <f>"Subtotal " &amp; A492</f>
        <v>Subtotal Stipends</v>
      </c>
      <c r="B496" s="99">
        <f ca="1">SUBTOTAL(9,B493:OFFSET(B496,-1,0))</f>
        <v>0</v>
      </c>
      <c r="C496" s="99">
        <f ca="1">SUBTOTAL(9,C493:OFFSET(C496,-1,0))</f>
        <v>0</v>
      </c>
      <c r="D496" s="99">
        <f ca="1">SUBTOTAL(9,D493:OFFSET(D496,-1,0))</f>
        <v>0</v>
      </c>
      <c r="E496" s="99">
        <f ca="1">SUBTOTAL(9,E493:OFFSET(E496,-1,0))</f>
        <v>0</v>
      </c>
      <c r="F496" s="99">
        <f ca="1">SUBTOTAL(9,F493:OFFSET(F496,-1,0))</f>
        <v>0</v>
      </c>
    </row>
    <row r="497" spans="1:6" x14ac:dyDescent="0.25">
      <c r="A497" s="139" t="str">
        <f>INDEX(categories[Expense Categories],8)</f>
        <v>Co-financing of personnel</v>
      </c>
      <c r="B497" s="100"/>
      <c r="C497" s="100"/>
      <c r="D497" s="100"/>
      <c r="E497" s="100"/>
      <c r="F497" s="100"/>
    </row>
    <row r="498" spans="1:6" x14ac:dyDescent="0.2">
      <c r="A498" s="140"/>
      <c r="B498" s="140"/>
      <c r="C498" s="140"/>
      <c r="D498" s="140"/>
      <c r="E498" s="140"/>
      <c r="F498" s="140"/>
    </row>
    <row r="499" spans="1:6" x14ac:dyDescent="0.2">
      <c r="A499" s="140"/>
      <c r="B499" s="140"/>
      <c r="C499" s="140"/>
      <c r="D499" s="140"/>
      <c r="E499" s="140"/>
      <c r="F499" s="140"/>
    </row>
    <row r="500" spans="1:6" x14ac:dyDescent="0.2">
      <c r="A500" s="140"/>
      <c r="B500" s="140"/>
      <c r="C500" s="140"/>
      <c r="D500" s="140"/>
      <c r="E500" s="140"/>
      <c r="F500" s="140"/>
    </row>
    <row r="501" spans="1:6" x14ac:dyDescent="0.25">
      <c r="A501" s="141" t="str">
        <f>"Subtotal " &amp; A497</f>
        <v>Subtotal Co-financing of personnel</v>
      </c>
      <c r="B501" s="99">
        <f ca="1">SUBTOTAL(9,B498:OFFSET(B501,-1,0))</f>
        <v>0</v>
      </c>
      <c r="C501" s="99">
        <f ca="1">SUBTOTAL(9,C498:OFFSET(C501,-1,0))</f>
        <v>0</v>
      </c>
      <c r="D501" s="99">
        <f ca="1">SUBTOTAL(9,D498:OFFSET(D501,-1,0))</f>
        <v>0</v>
      </c>
      <c r="E501" s="99">
        <f ca="1">SUBTOTAL(9,E498:OFFSET(E501,-1,0))</f>
        <v>0</v>
      </c>
      <c r="F501" s="99">
        <f ca="1">SUBTOTAL(9,F498:OFFSET(F501,-1,0))</f>
        <v>0</v>
      </c>
    </row>
    <row r="502" spans="1:6" x14ac:dyDescent="0.2">
      <c r="A502" s="144"/>
      <c r="B502" s="103"/>
      <c r="C502" s="103"/>
      <c r="D502" s="103"/>
      <c r="E502" s="103"/>
      <c r="F502" s="103"/>
    </row>
    <row r="503" spans="1:6" x14ac:dyDescent="0.25">
      <c r="A503" s="141" t="s">
        <v>459</v>
      </c>
      <c r="B503" s="99">
        <f ca="1">SUBTOTAL(9,B464:B502)</f>
        <v>0</v>
      </c>
      <c r="C503" s="99">
        <f ca="1">SUBTOTAL(9,C464:C502)</f>
        <v>0</v>
      </c>
      <c r="D503" s="99">
        <f ca="1">SUBTOTAL(9,D464:D502)</f>
        <v>0</v>
      </c>
      <c r="E503" s="99">
        <f ca="1">SUBTOTAL(9,E464:E502)</f>
        <v>0</v>
      </c>
      <c r="F503" s="99">
        <f ca="1">SUBTOTAL(9,F464:F502)</f>
        <v>0</v>
      </c>
    </row>
    <row r="504" spans="1:6" ht="38.25" x14ac:dyDescent="0.25">
      <c r="A504" s="143"/>
      <c r="B504" s="89"/>
      <c r="C504" s="89"/>
      <c r="D504" s="90" t="s">
        <v>460</v>
      </c>
      <c r="E504" s="90"/>
      <c r="F504" s="91">
        <f ca="1">SUM(B503:F503)</f>
        <v>0</v>
      </c>
    </row>
  </sheetData>
  <sheetProtection sheet="1" formatRows="0" insertRows="0" selectLockedCells="1"/>
  <conditionalFormatting sqref="A208:F259">
    <cfRule type="expression" dxfId="537" priority="489" stopIfTrue="1">
      <formula>LEN($A$210)&lt;=1</formula>
    </cfRule>
  </conditionalFormatting>
  <conditionalFormatting sqref="A107:F157">
    <cfRule type="expression" dxfId="536" priority="29" stopIfTrue="1">
      <formula>LEN($A$109)&lt;=1</formula>
    </cfRule>
  </conditionalFormatting>
  <conditionalFormatting sqref="A159:F206">
    <cfRule type="expression" dxfId="535" priority="30" stopIfTrue="1">
      <formula>LEN($A$161)&lt;=1</formula>
    </cfRule>
  </conditionalFormatting>
  <conditionalFormatting sqref="A261:F308">
    <cfRule type="expression" dxfId="534" priority="529" stopIfTrue="1">
      <formula>LEN($A$263)&lt;=1</formula>
    </cfRule>
  </conditionalFormatting>
  <conditionalFormatting sqref="A310:F357">
    <cfRule type="expression" dxfId="533" priority="530" stopIfTrue="1">
      <formula>LEN($A$312)&lt;=1</formula>
    </cfRule>
  </conditionalFormatting>
  <conditionalFormatting sqref="A359:F406">
    <cfRule type="expression" dxfId="532" priority="531" stopIfTrue="1">
      <formula>LEN($A$361)&lt;=1</formula>
    </cfRule>
  </conditionalFormatting>
  <conditionalFormatting sqref="A408:F455">
    <cfRule type="expression" dxfId="531" priority="532" stopIfTrue="1">
      <formula>LEN($A$410)&lt;=1</formula>
    </cfRule>
  </conditionalFormatting>
  <conditionalFormatting sqref="A457:F504">
    <cfRule type="expression" dxfId="530" priority="533" stopIfTrue="1">
      <formula>LEN($A$459)&lt;=1</formula>
    </cfRule>
  </conditionalFormatting>
  <conditionalFormatting sqref="A1:F504">
    <cfRule type="expression" dxfId="529" priority="534">
      <formula>AND(CELL("Protect",A1)=0,ISODD(CELL("Row",A1)))</formula>
    </cfRule>
    <cfRule type="expression" dxfId="528" priority="535">
      <formula>AND(CELL("Protect",A1)=0,ISEVEN(CELL("Row",A1)))</formula>
    </cfRule>
  </conditionalFormatting>
  <conditionalFormatting sqref="A199:F203">
    <cfRule type="expression" dxfId="527" priority="28" stopIfTrue="1">
      <formula>LEN($A$109)&lt;=1</formula>
    </cfRule>
  </conditionalFormatting>
  <conditionalFormatting sqref="A252:F256">
    <cfRule type="expression" dxfId="526" priority="27" stopIfTrue="1">
      <formula>LEN($A$161)&lt;=1</formula>
    </cfRule>
  </conditionalFormatting>
  <conditionalFormatting sqref="A252:F256">
    <cfRule type="expression" dxfId="525" priority="26" stopIfTrue="1">
      <formula>LEN($A$109)&lt;=1</formula>
    </cfRule>
  </conditionalFormatting>
  <conditionalFormatting sqref="A301:F305">
    <cfRule type="expression" dxfId="524" priority="25" stopIfTrue="1">
      <formula>LEN($A$210)&lt;=1</formula>
    </cfRule>
  </conditionalFormatting>
  <conditionalFormatting sqref="A301:F305">
    <cfRule type="expression" dxfId="523" priority="24" stopIfTrue="1">
      <formula>LEN($A$161)&lt;=1</formula>
    </cfRule>
  </conditionalFormatting>
  <conditionalFormatting sqref="A301:F305">
    <cfRule type="expression" dxfId="522" priority="23" stopIfTrue="1">
      <formula>LEN($A$109)&lt;=1</formula>
    </cfRule>
  </conditionalFormatting>
  <conditionalFormatting sqref="A350:F354">
    <cfRule type="expression" dxfId="521" priority="22" stopIfTrue="1">
      <formula>LEN($A$263)&lt;=1</formula>
    </cfRule>
  </conditionalFormatting>
  <conditionalFormatting sqref="A350:F354">
    <cfRule type="expression" dxfId="520" priority="21" stopIfTrue="1">
      <formula>LEN($A$210)&lt;=1</formula>
    </cfRule>
  </conditionalFormatting>
  <conditionalFormatting sqref="A350:F354">
    <cfRule type="expression" dxfId="519" priority="20" stopIfTrue="1">
      <formula>LEN($A$161)&lt;=1</formula>
    </cfRule>
  </conditionalFormatting>
  <conditionalFormatting sqref="A350:F354">
    <cfRule type="expression" dxfId="518" priority="19" stopIfTrue="1">
      <formula>LEN($A$109)&lt;=1</formula>
    </cfRule>
  </conditionalFormatting>
  <conditionalFormatting sqref="A399:F403">
    <cfRule type="expression" dxfId="517" priority="18" stopIfTrue="1">
      <formula>LEN($A$312)&lt;=1</formula>
    </cfRule>
  </conditionalFormatting>
  <conditionalFormatting sqref="A399:F403">
    <cfRule type="expression" dxfId="516" priority="17" stopIfTrue="1">
      <formula>LEN($A$263)&lt;=1</formula>
    </cfRule>
  </conditionalFormatting>
  <conditionalFormatting sqref="A399:F403">
    <cfRule type="expression" dxfId="515" priority="16" stopIfTrue="1">
      <formula>LEN($A$210)&lt;=1</formula>
    </cfRule>
  </conditionalFormatting>
  <conditionalFormatting sqref="A399:F403">
    <cfRule type="expression" dxfId="514" priority="15" stopIfTrue="1">
      <formula>LEN($A$161)&lt;=1</formula>
    </cfRule>
  </conditionalFormatting>
  <conditionalFormatting sqref="A399:F403">
    <cfRule type="expression" dxfId="513" priority="14" stopIfTrue="1">
      <formula>LEN($A$109)&lt;=1</formula>
    </cfRule>
  </conditionalFormatting>
  <conditionalFormatting sqref="A448:F452">
    <cfRule type="expression" dxfId="512" priority="13" stopIfTrue="1">
      <formula>LEN($A$361)&lt;=1</formula>
    </cfRule>
  </conditionalFormatting>
  <conditionalFormatting sqref="A448:F452">
    <cfRule type="expression" dxfId="511" priority="12" stopIfTrue="1">
      <formula>LEN($A$312)&lt;=1</formula>
    </cfRule>
  </conditionalFormatting>
  <conditionalFormatting sqref="A448:F452">
    <cfRule type="expression" dxfId="510" priority="11" stopIfTrue="1">
      <formula>LEN($A$263)&lt;=1</formula>
    </cfRule>
  </conditionalFormatting>
  <conditionalFormatting sqref="A448:F452">
    <cfRule type="expression" dxfId="509" priority="10" stopIfTrue="1">
      <formula>LEN($A$210)&lt;=1</formula>
    </cfRule>
  </conditionalFormatting>
  <conditionalFormatting sqref="A448:F452">
    <cfRule type="expression" dxfId="508" priority="9" stopIfTrue="1">
      <formula>LEN($A$161)&lt;=1</formula>
    </cfRule>
  </conditionalFormatting>
  <conditionalFormatting sqref="A448:F452">
    <cfRule type="expression" dxfId="507" priority="8" stopIfTrue="1">
      <formula>LEN($A$109)&lt;=1</formula>
    </cfRule>
  </conditionalFormatting>
  <conditionalFormatting sqref="A497:F501">
    <cfRule type="expression" dxfId="506" priority="7" stopIfTrue="1">
      <formula>LEN($A$410)&lt;=1</formula>
    </cfRule>
  </conditionalFormatting>
  <conditionalFormatting sqref="A497:F501">
    <cfRule type="expression" dxfId="505" priority="6" stopIfTrue="1">
      <formula>LEN($A$361)&lt;=1</formula>
    </cfRule>
  </conditionalFormatting>
  <conditionalFormatting sqref="A497:F501">
    <cfRule type="expression" dxfId="504" priority="5" stopIfTrue="1">
      <formula>LEN($A$312)&lt;=1</formula>
    </cfRule>
  </conditionalFormatting>
  <conditionalFormatting sqref="A497:F501">
    <cfRule type="expression" dxfId="503" priority="4" stopIfTrue="1">
      <formula>LEN($A$263)&lt;=1</formula>
    </cfRule>
  </conditionalFormatting>
  <conditionalFormatting sqref="A497:F501">
    <cfRule type="expression" dxfId="502" priority="3" stopIfTrue="1">
      <formula>LEN($A$210)&lt;=1</formula>
    </cfRule>
  </conditionalFormatting>
  <conditionalFormatting sqref="A497:F501">
    <cfRule type="expression" dxfId="501" priority="2" stopIfTrue="1">
      <formula>LEN($A$161)&lt;=1</formula>
    </cfRule>
  </conditionalFormatting>
  <conditionalFormatting sqref="A497:F501">
    <cfRule type="expression" dxfId="500" priority="1" stopIfTrue="1">
      <formula>LEN($A$109)&lt;=1</formula>
    </cfRule>
  </conditionalFormatting>
  <dataValidations count="1">
    <dataValidation type="decimal" operator="greaterThanOrEqual" allowBlank="1" showInputMessage="1" showErrorMessage="1" errorTitle="Numbers only" error="Please enter numbers only." sqref="B448:F452 B464:F495 B61:F96 B150:F154 B199:F203 B252:F256 B301:F305 B350:F354 B399:F403 B114:F148 B8:F50 B98:F103 B166:F197 B215:F250 B268:F299 B317:F348 B366:F397 B415:F446 B497:F501">
      <formula1>0</formula1>
    </dataValidation>
  </dataValidations>
  <pageMargins left="0.70866141732283472" right="0.70866141732283472" top="0.74803149606299213" bottom="0.74803149606299213" header="0.31496062992125984" footer="0.31496062992125984"/>
  <pageSetup paperSize="9" orientation="portrait" r:id="rId1"/>
  <rowBreaks count="9" manualBreakCount="9">
    <brk id="52" max="16383" man="1"/>
    <brk id="105" max="16383" man="1"/>
    <brk id="157" max="16383" man="1"/>
    <brk id="206" max="16383" man="1"/>
    <brk id="259" max="16383" man="1"/>
    <brk id="308" max="16383" man="1"/>
    <brk id="357" max="16383" man="1"/>
    <brk id="406" max="16383" man="1"/>
    <brk id="455" max="16383" man="1"/>
  </rowBreaks>
  <tableParts count="10">
    <tablePart r:id="rId2"/>
    <tablePart r:id="rId3"/>
    <tablePart r:id="rId4"/>
    <tablePart r:id="rId5"/>
    <tablePart r:id="rId6"/>
    <tablePart r:id="rId7"/>
    <tablePart r:id="rId8"/>
    <tablePart r:id="rId9"/>
    <tablePart r:id="rId10"/>
    <tablePart r:id="rId1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127"/>
  <sheetViews>
    <sheetView showZeros="0" zoomScaleNormal="100" workbookViewId="0">
      <selection activeCell="R2" sqref="R2"/>
    </sheetView>
  </sheetViews>
  <sheetFormatPr defaultColWidth="9.140625" defaultRowHeight="12.75" x14ac:dyDescent="0.25"/>
  <cols>
    <col min="1" max="1" width="29.5703125" style="60" customWidth="1"/>
    <col min="2" max="7" width="9.85546875" style="60" customWidth="1"/>
    <col min="8" max="10" width="13.5703125" style="60" hidden="1" customWidth="1"/>
    <col min="11" max="11" width="1.7109375" style="60" customWidth="1"/>
    <col min="12" max="12" width="29.5703125" style="60" customWidth="1"/>
    <col min="13" max="18" width="9.85546875" style="60" customWidth="1"/>
    <col min="19" max="21" width="13.5703125" style="60" hidden="1" customWidth="1"/>
    <col min="22" max="22" width="1.7109375" style="60" customWidth="1"/>
    <col min="23" max="16384" width="9.140625" style="60"/>
  </cols>
  <sheetData>
    <row r="1" spans="1:28" ht="26.25" thickBot="1" x14ac:dyDescent="0.3">
      <c r="A1" s="182" t="s">
        <v>387</v>
      </c>
      <c r="B1" s="183"/>
      <c r="C1" s="73" t="s">
        <v>447</v>
      </c>
      <c r="D1" s="191" t="s">
        <v>400</v>
      </c>
      <c r="E1" s="192"/>
      <c r="F1" s="192"/>
      <c r="G1" s="192"/>
      <c r="H1" s="74"/>
      <c r="I1" s="74"/>
      <c r="J1" s="74"/>
      <c r="K1" s="74"/>
      <c r="L1" s="182" t="s">
        <v>473</v>
      </c>
      <c r="M1" s="182"/>
      <c r="N1" s="183"/>
      <c r="O1" s="195" t="s">
        <v>387</v>
      </c>
      <c r="P1" s="182"/>
      <c r="Q1" s="183"/>
      <c r="R1" s="71" t="s">
        <v>474</v>
      </c>
    </row>
    <row r="2" spans="1:28" ht="27.75" customHeight="1" x14ac:dyDescent="0.25">
      <c r="A2" s="187">
        <f>spsRefNo</f>
        <v>0</v>
      </c>
      <c r="B2" s="188"/>
      <c r="C2" s="75">
        <f>approvedBudget</f>
        <v>0</v>
      </c>
      <c r="D2" s="189">
        <f>projectTitle</f>
        <v>0</v>
      </c>
      <c r="E2" s="190"/>
      <c r="F2" s="190"/>
      <c r="G2" s="190"/>
      <c r="L2" s="193">
        <f>shortTitle</f>
        <v>0</v>
      </c>
      <c r="M2" s="193"/>
      <c r="N2" s="194"/>
      <c r="O2" s="196">
        <f>spsRefNo</f>
        <v>0</v>
      </c>
      <c r="P2" s="187"/>
      <c r="Q2" s="188"/>
      <c r="R2" s="86"/>
    </row>
    <row r="3" spans="1:28" ht="15" customHeight="1" x14ac:dyDescent="0.25"/>
    <row r="4" spans="1:28" ht="26.25" customHeight="1" x14ac:dyDescent="0.25">
      <c r="A4" s="186" t="s">
        <v>472</v>
      </c>
      <c r="B4" s="186"/>
      <c r="C4" s="186"/>
      <c r="D4" s="186"/>
      <c r="E4" s="186"/>
      <c r="F4" s="186"/>
      <c r="G4" s="186"/>
      <c r="L4" s="186" t="s">
        <v>484</v>
      </c>
      <c r="M4" s="186"/>
      <c r="N4" s="186"/>
      <c r="O4" s="186"/>
      <c r="P4" s="186"/>
      <c r="Q4" s="186"/>
      <c r="R4" s="186"/>
    </row>
    <row r="5" spans="1:28" ht="15" customHeight="1" x14ac:dyDescent="0.25"/>
    <row r="6" spans="1:28" ht="26.25" thickBot="1" x14ac:dyDescent="0.3">
      <c r="A6" s="81" t="s">
        <v>395</v>
      </c>
      <c r="B6" s="72" t="s">
        <v>407</v>
      </c>
      <c r="C6" s="72" t="s">
        <v>408</v>
      </c>
      <c r="D6" s="72" t="s">
        <v>409</v>
      </c>
      <c r="E6" s="72" t="s">
        <v>485</v>
      </c>
      <c r="F6" s="62" t="s">
        <v>410</v>
      </c>
      <c r="G6" s="62" t="s">
        <v>403</v>
      </c>
      <c r="H6" s="62"/>
      <c r="I6" s="62"/>
      <c r="J6" s="62"/>
      <c r="L6" s="81" t="s">
        <v>395</v>
      </c>
      <c r="M6" s="72" t="s">
        <v>407</v>
      </c>
      <c r="N6" s="72" t="s">
        <v>408</v>
      </c>
      <c r="O6" s="72" t="s">
        <v>409</v>
      </c>
      <c r="P6" s="72" t="s">
        <v>485</v>
      </c>
      <c r="Q6" s="62" t="s">
        <v>410</v>
      </c>
      <c r="R6" s="62" t="s">
        <v>403</v>
      </c>
      <c r="S6" s="62"/>
      <c r="T6" s="62"/>
      <c r="U6" s="62"/>
      <c r="AB6" s="60">
        <f>numCategories</f>
        <v>8</v>
      </c>
    </row>
    <row r="7" spans="1:28" ht="15" customHeight="1" thickTop="1" x14ac:dyDescent="0.25">
      <c r="A7" s="60" t="str">
        <f>INDEX(categories[Expense Categories],ROW()-ROW(budgetProjectPlanOverall[#Headers]))</f>
        <v>Equipment</v>
      </c>
      <c r="B7" s="60">
        <f ca="1">SUMIFS(budgetProjectPlan[Milestone 1],budgetProjectPlan[Category],budgetProjectPlanOverall[[#This Row],[Category]],budgetProjectPlan[director], "&lt;&gt;1")</f>
        <v>0</v>
      </c>
      <c r="C7" s="60">
        <f ca="1">SUMIFS(budgetProjectPlan[Milestone 2],budgetProjectPlan[Category],budgetProjectPlanOverall[[#This Row],[Category]],budgetProjectPlan[director], "&lt;&gt;1")</f>
        <v>0</v>
      </c>
      <c r="D7" s="60">
        <f ca="1">SUMIFS(budgetProjectPlan[Milestone 3],budgetProjectPlan[Category],budgetProjectPlanOverall[[#This Row],[Category]],budgetProjectPlan[director], "&lt;&gt;1")</f>
        <v>0</v>
      </c>
      <c r="E7" s="60">
        <f ca="1">SUMIFS(budgetProjectPlan[Milestone 4],budgetProjectPlan[Category],budgetProjectPlanOverall[[#This Row],[Category]],budgetProjectPlan[director], "&lt;&gt;1")</f>
        <v>0</v>
      </c>
      <c r="F7" s="60">
        <f ca="1">SUMIFS(budgetProjectPlan[Final],budgetProjectPlan[Category],budgetProjectPlanOverall[[#This Row],[Category]],budgetProjectPlan[director], "&lt;&gt;1")</f>
        <v>0</v>
      </c>
      <c r="G7" s="60">
        <f ca="1">SUM(budgetProjectPlanOverall[[#This Row],[Milestone 1]:[Final]])</f>
        <v>0</v>
      </c>
      <c r="L7" s="60" t="str">
        <f>INDEX(categories[Expense Categories],ROW()-ROW(budgetSummaryOverall[#Headers]))</f>
        <v>Equipment</v>
      </c>
      <c r="M7" s="60">
        <f ca="1">SUMIFS(budgetSummary[Milestone 1],budgetSummary[Category],budgetSummaryOverall[[#This Row],[Category]],budgetSummary[director], "&lt;&gt;1")</f>
        <v>0</v>
      </c>
      <c r="N7" s="60">
        <f ca="1">SUMIFS(budgetSummary[Milestone 2],budgetSummary[Category],budgetSummaryOverall[[#This Row],[Category]],budgetSummary[director], "&lt;&gt;1")</f>
        <v>0</v>
      </c>
      <c r="O7" s="60">
        <f ca="1">SUMIFS(budgetSummary[Milestone 3],budgetSummary[Category],budgetSummaryOverall[[#This Row],[Category]],budgetSummary[director], "&lt;&gt;1")</f>
        <v>0</v>
      </c>
      <c r="P7" s="60">
        <f ca="1">SUMIFS(budgetSummary[Milestone 4],budgetSummary[Category],budgetSummaryOverall[[#This Row],[Category]],budgetSummary[director], "&lt;&gt;1")</f>
        <v>0</v>
      </c>
      <c r="Q7" s="60">
        <f ca="1">SUMIFS(budgetSummary[Final],budgetSummary[Category],budgetSummaryOverall[[#This Row],[Category]],budgetSummary[director], "&lt;&gt;1")</f>
        <v>0</v>
      </c>
      <c r="R7" s="60">
        <f ca="1">SUM(budgetSummaryOverall[[#This Row],[Milestone 1]:[Final]])</f>
        <v>0</v>
      </c>
    </row>
    <row r="8" spans="1:28" ht="15" customHeight="1" x14ac:dyDescent="0.25">
      <c r="A8" s="60" t="str">
        <f>INDEX(categories[Expense Categories],ROW()-ROW(budgetProjectPlanOverall[#Headers]))</f>
        <v>Training</v>
      </c>
      <c r="B8" s="60">
        <f ca="1">SUMIFS(budgetProjectPlan[Milestone 1],budgetProjectPlan[Category],budgetProjectPlanOverall[[#This Row],[Category]],budgetProjectPlan[director], "&lt;&gt;1")</f>
        <v>0</v>
      </c>
      <c r="C8" s="60">
        <f ca="1">SUMIFS(budgetProjectPlan[Milestone 2],budgetProjectPlan[Category],budgetProjectPlanOverall[[#This Row],[Category]],budgetProjectPlan[director], "&lt;&gt;1")</f>
        <v>0</v>
      </c>
      <c r="D8" s="60">
        <f ca="1">SUMIFS(budgetProjectPlan[Milestone 3],budgetProjectPlan[Category],budgetProjectPlanOverall[[#This Row],[Category]],budgetProjectPlan[director], "&lt;&gt;1")</f>
        <v>0</v>
      </c>
      <c r="E8" s="60">
        <f ca="1">SUMIFS(budgetProjectPlan[Milestone 4],budgetProjectPlan[Category],budgetProjectPlanOverall[[#This Row],[Category]],budgetProjectPlan[director], "&lt;&gt;1")</f>
        <v>0</v>
      </c>
      <c r="F8" s="60">
        <f ca="1">SUMIFS(budgetProjectPlan[Final],budgetProjectPlan[Category],budgetProjectPlanOverall[[#This Row],[Category]],budgetProjectPlan[director], "&lt;&gt;1")</f>
        <v>0</v>
      </c>
      <c r="G8" s="60">
        <f ca="1">SUM(budgetProjectPlanOverall[[#This Row],[Milestone 1]:[Final]])</f>
        <v>0</v>
      </c>
      <c r="L8" s="60" t="str">
        <f>INDEX(categories[Expense Categories],ROW()-ROW(budgetSummaryOverall[#Headers]))</f>
        <v>Training</v>
      </c>
      <c r="M8" s="60">
        <f ca="1">SUMIFS(budgetSummary[Milestone 1],budgetSummary[Category],budgetSummaryOverall[[#This Row],[Category]],budgetSummary[director], "&lt;&gt;1")</f>
        <v>0</v>
      </c>
      <c r="N8" s="60">
        <f ca="1">SUMIFS(budgetSummary[Milestone 2],budgetSummary[Category],budgetSummaryOverall[[#This Row],[Category]],budgetSummary[director], "&lt;&gt;1")</f>
        <v>0</v>
      </c>
      <c r="O8" s="60">
        <f ca="1">SUMIFS(budgetSummary[Milestone 3],budgetSummary[Category],budgetSummaryOverall[[#This Row],[Category]],budgetSummary[director], "&lt;&gt;1")</f>
        <v>0</v>
      </c>
      <c r="P8" s="60">
        <f ca="1">SUMIFS(budgetSummary[Milestone 4],budgetSummary[Category],budgetSummaryOverall[[#This Row],[Category]],budgetSummary[director], "&lt;&gt;1")</f>
        <v>0</v>
      </c>
      <c r="Q8" s="60">
        <f ca="1">SUMIFS(budgetSummary[Final],budgetSummary[Category],budgetSummaryOverall[[#This Row],[Category]],budgetSummary[director], "&lt;&gt;1")</f>
        <v>0</v>
      </c>
      <c r="R8" s="60">
        <f ca="1">SUM(budgetSummaryOverall[[#This Row],[Milestone 1]:[Final]])</f>
        <v>0</v>
      </c>
    </row>
    <row r="9" spans="1:28" ht="15" customHeight="1" x14ac:dyDescent="0.25">
      <c r="A9" s="60" t="str">
        <f>INDEX(categories[Expense Categories],ROW()-ROW(budgetProjectPlanOverall[#Headers]))</f>
        <v>Communication &amp; Publication</v>
      </c>
      <c r="B9" s="60">
        <f ca="1">SUMIFS(budgetProjectPlan[Milestone 1],budgetProjectPlan[Category],budgetProjectPlanOverall[[#This Row],[Category]],budgetProjectPlan[director], "&lt;&gt;1")</f>
        <v>0</v>
      </c>
      <c r="C9" s="60">
        <f ca="1">SUMIFS(budgetProjectPlan[Milestone 2],budgetProjectPlan[Category],budgetProjectPlanOverall[[#This Row],[Category]],budgetProjectPlan[director], "&lt;&gt;1")</f>
        <v>0</v>
      </c>
      <c r="D9" s="60">
        <f ca="1">SUMIFS(budgetProjectPlan[Milestone 3],budgetProjectPlan[Category],budgetProjectPlanOverall[[#This Row],[Category]],budgetProjectPlan[director], "&lt;&gt;1")</f>
        <v>0</v>
      </c>
      <c r="E9" s="60">
        <f ca="1">SUMIFS(budgetProjectPlan[Milestone 4],budgetProjectPlan[Category],budgetProjectPlanOverall[[#This Row],[Category]],budgetProjectPlan[director], "&lt;&gt;1")</f>
        <v>0</v>
      </c>
      <c r="F9" s="60">
        <f ca="1">SUMIFS(budgetProjectPlan[Final],budgetProjectPlan[Category],budgetProjectPlanOverall[[#This Row],[Category]],budgetProjectPlan[director], "&lt;&gt;1")</f>
        <v>0</v>
      </c>
      <c r="G9" s="60">
        <f ca="1">SUM(budgetProjectPlanOverall[[#This Row],[Milestone 1]:[Final]])</f>
        <v>0</v>
      </c>
      <c r="L9" s="60" t="str">
        <f>INDEX(categories[Expense Categories],ROW()-ROW(budgetSummaryOverall[#Headers]))</f>
        <v>Communication &amp; Publication</v>
      </c>
      <c r="M9" s="60">
        <f ca="1">SUMIFS(budgetSummary[Milestone 1],budgetSummary[Category],budgetSummaryOverall[[#This Row],[Category]],budgetSummary[director], "&lt;&gt;1")</f>
        <v>0</v>
      </c>
      <c r="N9" s="60">
        <f ca="1">SUMIFS(budgetSummary[Milestone 2],budgetSummary[Category],budgetSummaryOverall[[#This Row],[Category]],budgetSummary[director], "&lt;&gt;1")</f>
        <v>0</v>
      </c>
      <c r="O9" s="60">
        <f ca="1">SUMIFS(budgetSummary[Milestone 3],budgetSummary[Category],budgetSummaryOverall[[#This Row],[Category]],budgetSummary[director], "&lt;&gt;1")</f>
        <v>0</v>
      </c>
      <c r="P9" s="60">
        <f ca="1">SUMIFS(budgetSummary[Milestone 4],budgetSummary[Category],budgetSummaryOverall[[#This Row],[Category]],budgetSummary[director], "&lt;&gt;1")</f>
        <v>0</v>
      </c>
      <c r="Q9" s="60">
        <f ca="1">SUMIFS(budgetSummary[Final],budgetSummary[Category],budgetSummaryOverall[[#This Row],[Category]],budgetSummary[director], "&lt;&gt;1")</f>
        <v>0</v>
      </c>
      <c r="R9" s="60">
        <f ca="1">SUM(budgetSummaryOverall[[#This Row],[Milestone 1]:[Final]])</f>
        <v>0</v>
      </c>
    </row>
    <row r="10" spans="1:28" ht="15" customHeight="1" x14ac:dyDescent="0.25">
      <c r="A10" s="60" t="str">
        <f>INDEX(categories[Expense Categories],ROW()-ROW(budgetProjectPlanOverall[#Headers]))</f>
        <v>Travel</v>
      </c>
      <c r="B10" s="60">
        <f ca="1">SUMIFS(budgetProjectPlan[Milestone 1],budgetProjectPlan[Category],budgetProjectPlanOverall[[#This Row],[Category]],budgetProjectPlan[director], "&lt;&gt;1")</f>
        <v>0</v>
      </c>
      <c r="C10" s="60">
        <f ca="1">SUMIFS(budgetProjectPlan[Milestone 2],budgetProjectPlan[Category],budgetProjectPlanOverall[[#This Row],[Category]],budgetProjectPlan[director], "&lt;&gt;1")</f>
        <v>0</v>
      </c>
      <c r="D10" s="60">
        <f ca="1">SUMIFS(budgetProjectPlan[Milestone 3],budgetProjectPlan[Category],budgetProjectPlanOverall[[#This Row],[Category]],budgetProjectPlan[director], "&lt;&gt;1")</f>
        <v>0</v>
      </c>
      <c r="E10" s="60">
        <f ca="1">SUMIFS(budgetProjectPlan[Milestone 4],budgetProjectPlan[Category],budgetProjectPlanOverall[[#This Row],[Category]],budgetProjectPlan[director], "&lt;&gt;1")</f>
        <v>0</v>
      </c>
      <c r="F10" s="60">
        <f ca="1">SUMIFS(budgetProjectPlan[Final],budgetProjectPlan[Category],budgetProjectPlanOverall[[#This Row],[Category]],budgetProjectPlan[director], "&lt;&gt;1")</f>
        <v>0</v>
      </c>
      <c r="G10" s="60">
        <f ca="1">SUM(budgetProjectPlanOverall[[#This Row],[Milestone 1]:[Final]])</f>
        <v>0</v>
      </c>
      <c r="L10" s="60" t="str">
        <f>INDEX(categories[Expense Categories],ROW()-ROW(budgetSummaryOverall[#Headers]))</f>
        <v>Travel</v>
      </c>
      <c r="M10" s="60">
        <f ca="1">SUMIFS(budgetSummary[Milestone 1],budgetSummary[Category],budgetSummaryOverall[[#This Row],[Category]],budgetSummary[director], "&lt;&gt;1")</f>
        <v>0</v>
      </c>
      <c r="N10" s="60">
        <f ca="1">SUMIFS(budgetSummary[Milestone 2],budgetSummary[Category],budgetSummaryOverall[[#This Row],[Category]],budgetSummary[director], "&lt;&gt;1")</f>
        <v>0</v>
      </c>
      <c r="O10" s="60">
        <f ca="1">SUMIFS(budgetSummary[Milestone 3],budgetSummary[Category],budgetSummaryOverall[[#This Row],[Category]],budgetSummary[director], "&lt;&gt;1")</f>
        <v>0</v>
      </c>
      <c r="P10" s="60">
        <f ca="1">SUMIFS(budgetSummary[Milestone 4],budgetSummary[Category],budgetSummaryOverall[[#This Row],[Category]],budgetSummary[director], "&lt;&gt;1")</f>
        <v>0</v>
      </c>
      <c r="Q10" s="60">
        <f ca="1">SUMIFS(budgetSummary[Final],budgetSummary[Category],budgetSummaryOverall[[#This Row],[Category]],budgetSummary[director], "&lt;&gt;1")</f>
        <v>0</v>
      </c>
      <c r="R10" s="60">
        <f ca="1">SUM(budgetSummaryOverall[[#This Row],[Milestone 1]:[Final]])</f>
        <v>0</v>
      </c>
    </row>
    <row r="11" spans="1:28" ht="15" customHeight="1" x14ac:dyDescent="0.25">
      <c r="A11" s="60" t="str">
        <f>INDEX(categories[Expense Categories],ROW()-ROW(budgetProjectPlanOverall[#Headers]))</f>
        <v>Consumables</v>
      </c>
      <c r="B11" s="60">
        <f ca="1">SUMIFS(budgetProjectPlan[Milestone 1],budgetProjectPlan[Category],budgetProjectPlanOverall[[#This Row],[Category]],budgetProjectPlan[director], "&lt;&gt;1")</f>
        <v>0</v>
      </c>
      <c r="C11" s="60">
        <f ca="1">SUMIFS(budgetProjectPlan[Milestone 2],budgetProjectPlan[Category],budgetProjectPlanOverall[[#This Row],[Category]],budgetProjectPlan[director], "&lt;&gt;1")</f>
        <v>0</v>
      </c>
      <c r="D11" s="60">
        <f ca="1">SUMIFS(budgetProjectPlan[Milestone 3],budgetProjectPlan[Category],budgetProjectPlanOverall[[#This Row],[Category]],budgetProjectPlan[director], "&lt;&gt;1")</f>
        <v>0</v>
      </c>
      <c r="E11" s="60">
        <f ca="1">SUMIFS(budgetProjectPlan[Milestone 4],budgetProjectPlan[Category],budgetProjectPlanOverall[[#This Row],[Category]],budgetProjectPlan[director], "&lt;&gt;1")</f>
        <v>0</v>
      </c>
      <c r="F11" s="60">
        <f ca="1">SUMIFS(budgetProjectPlan[Final],budgetProjectPlan[Category],budgetProjectPlanOverall[[#This Row],[Category]],budgetProjectPlan[director], "&lt;&gt;1")</f>
        <v>0</v>
      </c>
      <c r="G11" s="60">
        <f ca="1">SUM(budgetProjectPlanOverall[[#This Row],[Milestone 1]:[Final]])</f>
        <v>0</v>
      </c>
      <c r="L11" s="60" t="str">
        <f>INDEX(categories[Expense Categories],ROW()-ROW(budgetSummaryOverall[#Headers]))</f>
        <v>Consumables</v>
      </c>
      <c r="M11" s="60">
        <f ca="1">SUMIFS(budgetSummary[Milestone 1],budgetSummary[Category],budgetSummaryOverall[[#This Row],[Category]],budgetSummary[director], "&lt;&gt;1")</f>
        <v>0</v>
      </c>
      <c r="N11" s="60">
        <f ca="1">SUMIFS(budgetSummary[Milestone 2],budgetSummary[Category],budgetSummaryOverall[[#This Row],[Category]],budgetSummary[director], "&lt;&gt;1")</f>
        <v>0</v>
      </c>
      <c r="O11" s="60">
        <f ca="1">SUMIFS(budgetSummary[Milestone 3],budgetSummary[Category],budgetSummaryOverall[[#This Row],[Category]],budgetSummary[director], "&lt;&gt;1")</f>
        <v>0</v>
      </c>
      <c r="P11" s="60">
        <f ca="1">SUMIFS(budgetSummary[Milestone 4],budgetSummary[Category],budgetSummaryOverall[[#This Row],[Category]],budgetSummary[director], "&lt;&gt;1")</f>
        <v>0</v>
      </c>
      <c r="Q11" s="60">
        <f ca="1">SUMIFS(budgetSummary[Final],budgetSummary[Category],budgetSummaryOverall[[#This Row],[Category]],budgetSummary[director], "&lt;&gt;1")</f>
        <v>0</v>
      </c>
      <c r="R11" s="60">
        <f ca="1">SUM(budgetSummaryOverall[[#This Row],[Milestone 1]:[Final]])</f>
        <v>0</v>
      </c>
    </row>
    <row r="12" spans="1:28" ht="15" customHeight="1" x14ac:dyDescent="0.25">
      <c r="A12" s="60" t="str">
        <f>INDEX(categories[Expense Categories],ROW()-ROW(budgetProjectPlanOverall[#Headers]))</f>
        <v>Other</v>
      </c>
      <c r="B12" s="60">
        <f ca="1">SUMIFS(budgetProjectPlan[Milestone 1],budgetProjectPlan[Category],budgetProjectPlanOverall[[#This Row],[Category]],budgetProjectPlan[director], "&lt;&gt;1")</f>
        <v>0</v>
      </c>
      <c r="C12" s="60">
        <f ca="1">SUMIFS(budgetProjectPlan[Milestone 2],budgetProjectPlan[Category],budgetProjectPlanOverall[[#This Row],[Category]],budgetProjectPlan[director], "&lt;&gt;1")</f>
        <v>0</v>
      </c>
      <c r="D12" s="60">
        <f ca="1">SUMIFS(budgetProjectPlan[Milestone 3],budgetProjectPlan[Category],budgetProjectPlanOverall[[#This Row],[Category]],budgetProjectPlan[director], "&lt;&gt;1")</f>
        <v>0</v>
      </c>
      <c r="E12" s="60">
        <f ca="1">SUMIFS(budgetProjectPlan[Milestone 4],budgetProjectPlan[Category],budgetProjectPlanOverall[[#This Row],[Category]],budgetProjectPlan[director], "&lt;&gt;1")</f>
        <v>0</v>
      </c>
      <c r="F12" s="60">
        <f ca="1">SUMIFS(budgetProjectPlan[Final],budgetProjectPlan[Category],budgetProjectPlanOverall[[#This Row],[Category]],budgetProjectPlan[director], "&lt;&gt;1")</f>
        <v>0</v>
      </c>
      <c r="G12" s="60">
        <f ca="1">SUM(budgetProjectPlanOverall[[#This Row],[Milestone 1]:[Final]])</f>
        <v>0</v>
      </c>
      <c r="L12" s="60" t="str">
        <f>INDEX(categories[Expense Categories],ROW()-ROW(budgetSummaryOverall[#Headers]))</f>
        <v>Other</v>
      </c>
      <c r="M12" s="60">
        <f ca="1">SUMIFS(budgetSummary[Milestone 1],budgetSummary[Category],budgetSummaryOverall[[#This Row],[Category]],budgetSummary[director], "&lt;&gt;1")</f>
        <v>0</v>
      </c>
      <c r="N12" s="60">
        <f ca="1">SUMIFS(budgetSummary[Milestone 2],budgetSummary[Category],budgetSummaryOverall[[#This Row],[Category]],budgetSummary[director], "&lt;&gt;1")</f>
        <v>0</v>
      </c>
      <c r="O12" s="60">
        <f ca="1">SUMIFS(budgetSummary[Milestone 3],budgetSummary[Category],budgetSummaryOverall[[#This Row],[Category]],budgetSummary[director], "&lt;&gt;1")</f>
        <v>0</v>
      </c>
      <c r="P12" s="60">
        <f ca="1">SUMIFS(budgetSummary[Milestone 4],budgetSummary[Category],budgetSummaryOverall[[#This Row],[Category]],budgetSummary[director], "&lt;&gt;1")</f>
        <v>0</v>
      </c>
      <c r="Q12" s="60">
        <f ca="1">SUMIFS(budgetSummary[Final],budgetSummary[Category],budgetSummaryOverall[[#This Row],[Category]],budgetSummary[director], "&lt;&gt;1")</f>
        <v>0</v>
      </c>
      <c r="R12" s="60">
        <f ca="1">SUM(budgetSummaryOverall[[#This Row],[Milestone 1]:[Final]])</f>
        <v>0</v>
      </c>
    </row>
    <row r="13" spans="1:28" ht="15" customHeight="1" x14ac:dyDescent="0.25">
      <c r="A13" s="60" t="str">
        <f>INDEX(categories[Expense Categories],ROW()-ROW(budgetProjectPlanOverall[#Headers]))</f>
        <v>Stipends</v>
      </c>
      <c r="B13" s="60">
        <f ca="1">SUMIFS(budgetProjectPlan[Milestone 1],budgetProjectPlan[Category],budgetProjectPlanOverall[[#This Row],[Category]],budgetProjectPlan[director], "&lt;&gt;1")</f>
        <v>0</v>
      </c>
      <c r="C13" s="60">
        <f ca="1">SUMIFS(budgetProjectPlan[Milestone 2],budgetProjectPlan[Category],budgetProjectPlanOverall[[#This Row],[Category]],budgetProjectPlan[director], "&lt;&gt;1")</f>
        <v>0</v>
      </c>
      <c r="D13" s="60">
        <f ca="1">SUMIFS(budgetProjectPlan[Milestone 3],budgetProjectPlan[Category],budgetProjectPlanOverall[[#This Row],[Category]],budgetProjectPlan[director], "&lt;&gt;1")</f>
        <v>0</v>
      </c>
      <c r="E13" s="60">
        <f ca="1">SUMIFS(budgetProjectPlan[Milestone 4],budgetProjectPlan[Category],budgetProjectPlanOverall[[#This Row],[Category]],budgetProjectPlan[director], "&lt;&gt;1")</f>
        <v>0</v>
      </c>
      <c r="F13" s="60">
        <f ca="1">SUMIFS(budgetProjectPlan[Final],budgetProjectPlan[Category],budgetProjectPlanOverall[[#This Row],[Category]],budgetProjectPlan[director], "&lt;&gt;1")</f>
        <v>0</v>
      </c>
      <c r="G13" s="60">
        <f ca="1">SUM(budgetProjectPlanOverall[[#This Row],[Milestone 1]:[Final]])</f>
        <v>0</v>
      </c>
      <c r="L13" s="60" t="str">
        <f>INDEX(categories[Expense Categories],ROW()-ROW(budgetSummaryOverall[#Headers]))</f>
        <v>Stipends</v>
      </c>
      <c r="M13" s="60">
        <f ca="1">SUMIFS(budgetSummary[Milestone 1],budgetSummary[Category],budgetSummaryOverall[[#This Row],[Category]],budgetSummary[director], "&lt;&gt;1")</f>
        <v>0</v>
      </c>
      <c r="N13" s="60">
        <f ca="1">SUMIFS(budgetSummary[Milestone 2],budgetSummary[Category],budgetSummaryOverall[[#This Row],[Category]],budgetSummary[director], "&lt;&gt;1")</f>
        <v>0</v>
      </c>
      <c r="O13" s="60">
        <f ca="1">SUMIFS(budgetSummary[Milestone 3],budgetSummary[Category],budgetSummaryOverall[[#This Row],[Category]],budgetSummary[director], "&lt;&gt;1")</f>
        <v>0</v>
      </c>
      <c r="P13" s="60">
        <f ca="1">SUMIFS(budgetSummary[Milestone 4],budgetSummary[Category],budgetSummaryOverall[[#This Row],[Category]],budgetSummary[director], "&lt;&gt;1")</f>
        <v>0</v>
      </c>
      <c r="Q13" s="60">
        <f ca="1">SUMIFS(budgetSummary[Final],budgetSummary[Category],budgetSummaryOverall[[#This Row],[Category]],budgetSummary[director], "&lt;&gt;1")</f>
        <v>0</v>
      </c>
      <c r="R13" s="60">
        <f ca="1">SUM(budgetSummaryOverall[[#This Row],[Milestone 1]:[Final]])</f>
        <v>0</v>
      </c>
    </row>
    <row r="14" spans="1:28" ht="15" customHeight="1" x14ac:dyDescent="0.25">
      <c r="A14" s="60" t="str">
        <f>INDEX(categories[Expense Categories],ROW()-ROW(budgetProjectPlanOverall[#Headers]))</f>
        <v>Co-financing of personnel</v>
      </c>
      <c r="B14" s="60">
        <f ca="1">SUMIFS(budgetProjectPlan[Milestone 1],budgetProjectPlan[Category],budgetProjectPlanOverall[[#This Row],[Category]],budgetProjectPlan[director], "&lt;&gt;1")</f>
        <v>0</v>
      </c>
      <c r="C14" s="60">
        <f ca="1">SUMIFS(budgetProjectPlan[Milestone 2],budgetProjectPlan[Category],budgetProjectPlanOverall[[#This Row],[Category]],budgetProjectPlan[director], "&lt;&gt;1")</f>
        <v>0</v>
      </c>
      <c r="D14" s="60">
        <f ca="1">SUMIFS(budgetProjectPlan[Milestone 3],budgetProjectPlan[Category],budgetProjectPlanOverall[[#This Row],[Category]],budgetProjectPlan[director], "&lt;&gt;1")</f>
        <v>0</v>
      </c>
      <c r="E14" s="60">
        <f ca="1">SUMIFS(budgetProjectPlan[Milestone 4],budgetProjectPlan[Category],budgetProjectPlanOverall[[#This Row],[Category]],budgetProjectPlan[director], "&lt;&gt;1")</f>
        <v>0</v>
      </c>
      <c r="F14" s="60">
        <f ca="1">SUMIFS(budgetProjectPlan[Final],budgetProjectPlan[Category],budgetProjectPlanOverall[[#This Row],[Category]],budgetProjectPlan[director], "&lt;&gt;1")</f>
        <v>0</v>
      </c>
      <c r="G14" s="60">
        <f ca="1">SUM(budgetProjectPlanOverall[[#This Row],[Milestone 1]:[Final]])</f>
        <v>0</v>
      </c>
      <c r="L14" s="60" t="str">
        <f>INDEX(categories[Expense Categories],ROW()-ROW(budgetSummaryOverall[#Headers]))</f>
        <v>Co-financing of personnel</v>
      </c>
      <c r="M14" s="60">
        <f ca="1">SUMIFS(budgetSummary[Milestone 1],budgetSummary[Category],budgetSummaryOverall[[#This Row],[Category]],budgetSummary[director], "&lt;&gt;1")</f>
        <v>0</v>
      </c>
      <c r="N14" s="60">
        <f ca="1">SUMIFS(budgetSummary[Milestone 2],budgetSummary[Category],budgetSummaryOverall[[#This Row],[Category]],budgetSummary[director], "&lt;&gt;1")</f>
        <v>0</v>
      </c>
      <c r="O14" s="60">
        <f ca="1">SUMIFS(budgetSummary[Milestone 3],budgetSummary[Category],budgetSummaryOverall[[#This Row],[Category]],budgetSummary[director], "&lt;&gt;1")</f>
        <v>0</v>
      </c>
      <c r="P14" s="60">
        <f ca="1">SUMIFS(budgetSummary[Milestone 4],budgetSummary[Category],budgetSummaryOverall[[#This Row],[Category]],budgetSummary[director], "&lt;&gt;1")</f>
        <v>0</v>
      </c>
      <c r="Q14" s="60">
        <f ca="1">SUMIFS(budgetSummary[Final],budgetSummary[Category],budgetSummaryOverall[[#This Row],[Category]],budgetSummary[director], "&lt;&gt;1")</f>
        <v>0</v>
      </c>
      <c r="R14" s="60">
        <f ca="1">SUM(budgetSummaryOverall[[#This Row],[Milestone 1]:[Final]])</f>
        <v>0</v>
      </c>
    </row>
    <row r="15" spans="1:28" ht="15" customHeight="1" x14ac:dyDescent="0.25">
      <c r="A15" s="60" t="s">
        <v>403</v>
      </c>
      <c r="B15" s="60">
        <f ca="1">SUBTOTAL(109,budgetProjectPlanOverall[Milestone 1])</f>
        <v>0</v>
      </c>
      <c r="C15" s="60">
        <f ca="1">SUBTOTAL(109,budgetProjectPlanOverall[Milestone 2])</f>
        <v>0</v>
      </c>
      <c r="D15" s="60">
        <f ca="1">SUBTOTAL(109,budgetProjectPlanOverall[Milestone 3])</f>
        <v>0</v>
      </c>
      <c r="E15" s="60">
        <f ca="1">SUBTOTAL(109,budgetProjectPlanOverall[Milestone 4])</f>
        <v>0</v>
      </c>
      <c r="F15" s="60">
        <f ca="1">SUBTOTAL(109,budgetProjectPlanOverall[Final])</f>
        <v>0</v>
      </c>
      <c r="G15" s="60">
        <f ca="1">SUBTOTAL(109,budgetProjectPlanOverall[Total])</f>
        <v>0</v>
      </c>
      <c r="H15" s="47"/>
      <c r="I15" s="47"/>
      <c r="J15" s="47"/>
      <c r="L15" s="179" t="s">
        <v>403</v>
      </c>
      <c r="M15" s="179">
        <f ca="1">SUBTOTAL(109,budgetSummaryOverall[Milestone 1])</f>
        <v>0</v>
      </c>
      <c r="N15" s="179">
        <f ca="1">SUBTOTAL(109,budgetSummaryOverall[Milestone 2])</f>
        <v>0</v>
      </c>
      <c r="O15" s="179">
        <f ca="1">SUBTOTAL(109,budgetSummaryOverall[Milestone 3])</f>
        <v>0</v>
      </c>
      <c r="P15" s="179">
        <f ca="1">SUBTOTAL(109,budgetSummaryOverall[Milestone 4])</f>
        <v>0</v>
      </c>
      <c r="Q15" s="179">
        <f ca="1">SUBTOTAL(109,budgetSummaryOverall[Final])</f>
        <v>0</v>
      </c>
      <c r="R15" s="179">
        <f ca="1">SUBTOTAL(109,budgetSummaryOverall[Total])</f>
        <v>0</v>
      </c>
      <c r="S15" s="47"/>
      <c r="T15" s="47"/>
      <c r="U15" s="47"/>
    </row>
    <row r="16" spans="1:28" ht="15" customHeight="1" x14ac:dyDescent="0.25"/>
    <row r="17" spans="1:21" ht="26.25" thickBot="1" x14ac:dyDescent="0.3">
      <c r="A17" s="81" t="s">
        <v>395</v>
      </c>
      <c r="B17" s="72" t="s">
        <v>407</v>
      </c>
      <c r="C17" s="72" t="s">
        <v>408</v>
      </c>
      <c r="D17" s="72" t="s">
        <v>409</v>
      </c>
      <c r="E17" s="72" t="s">
        <v>485</v>
      </c>
      <c r="F17" s="62" t="s">
        <v>410</v>
      </c>
      <c r="G17" s="81" t="s">
        <v>403</v>
      </c>
      <c r="H17" s="62" t="s">
        <v>427</v>
      </c>
      <c r="I17" s="62" t="s">
        <v>428</v>
      </c>
      <c r="J17" s="62" t="s">
        <v>429</v>
      </c>
      <c r="L17" s="81" t="s">
        <v>395</v>
      </c>
      <c r="M17" s="72" t="s">
        <v>407</v>
      </c>
      <c r="N17" s="72" t="s">
        <v>408</v>
      </c>
      <c r="O17" s="72" t="s">
        <v>409</v>
      </c>
      <c r="P17" s="72" t="s">
        <v>485</v>
      </c>
      <c r="Q17" s="62" t="s">
        <v>410</v>
      </c>
      <c r="R17" s="81" t="s">
        <v>403</v>
      </c>
      <c r="S17" s="62" t="s">
        <v>427</v>
      </c>
      <c r="T17" s="62" t="s">
        <v>428</v>
      </c>
      <c r="U17" s="62" t="s">
        <v>429</v>
      </c>
    </row>
    <row r="18" spans="1:21" ht="15" customHeight="1" thickTop="1" x14ac:dyDescent="0.25">
      <c r="A18"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xml:space="preserve">0 / </v>
      </c>
      <c r="G18" s="60">
        <f>SUM(budgetProjectPlan[[#This Row],[Milestone 1]:[Final]])</f>
        <v>0</v>
      </c>
      <c r="H18" s="60">
        <f>ROW()-ROW(budgetProjectPlan[#Headers])</f>
        <v>1</v>
      </c>
      <c r="I18" s="60">
        <f>IF(budgetProjectPlan[row] &lt;= numCategories +3, budgetProjectPlan[row]-1, MOD(budgetProjectPlan[row]-1,numCategories+3) + IF(MOD(budgetProjectPlan[row]-2,numCategories+2)&gt;numCategories+1, 1,0))</f>
        <v>0</v>
      </c>
      <c r="J18" s="60">
        <f>IFERROR(INDEX(directors[Last],MAX(1,FLOOR((budgetProjectPlan[row]-1)/(numCategories+3)+1,1))),1)</f>
        <v>0</v>
      </c>
      <c r="L18"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xml:space="preserve">0 / </v>
      </c>
      <c r="R18" s="60">
        <f>SUM(budgetSummary[[#This Row],[Milestone 1]:[Final]])</f>
        <v>0</v>
      </c>
      <c r="S18" s="60">
        <f>ROW()-ROW(budgetSummary[#Headers])</f>
        <v>1</v>
      </c>
      <c r="T18" s="60">
        <f>IF(budgetSummary[row] &lt;= numCategories +3, budgetSummary[row]-1, MOD(budgetSummary[row]-1,numCategories+3) + IF(MOD(budgetSummary[row]-2,numCategories+2)&gt;numCategories+1, 1,0))</f>
        <v>0</v>
      </c>
      <c r="U18" s="60">
        <f>IFERROR(INDEX(directors[Last],MAX(1,FLOOR((budgetSummary[row]-1)/(numCategories+3)+1,1))),1)</f>
        <v>0</v>
      </c>
    </row>
    <row r="19" spans="1:21" ht="15" customHeight="1" x14ac:dyDescent="0.25">
      <c r="A19"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Equipment</v>
      </c>
      <c r="B19" s="60">
        <f ca="1">INDEX(budgetNPD[],MATCH("Subtotal " &amp; budgetProjectPlan[[#This Row],[Category]],budgetNPD[Category],0),MATCH(budgetProjectPlan[[#Headers],[Milestone 1]],budgetNPD[#Headers],0))</f>
        <v>0</v>
      </c>
      <c r="C19" s="60">
        <f ca="1">INDEX(budgetNPD[],MATCH("Subtotal " &amp; budgetProjectPlan[[#This Row],[Category]],budgetNPD[Category],0),MATCH(budgetProjectPlan[[#Headers],[Milestone 2]],budgetNPD[#Headers],0))</f>
        <v>0</v>
      </c>
      <c r="D19" s="60">
        <f ca="1">INDEX(budgetNPD[],MATCH("Subtotal " &amp; budgetProjectPlan[[#This Row],[Category]],budgetNPD[Category],0),MATCH(budgetProjectPlan[[#Headers],[Milestone 3]],budgetNPD[#Headers],0))</f>
        <v>0</v>
      </c>
      <c r="E19" s="60">
        <f ca="1">INDEX(budgetNPD[],MATCH("Subtotal " &amp; budgetProjectPlan[[#This Row],[Category]],budgetNPD[Category],0),MATCH(budgetProjectPlan[[#Headers],[Milestone 4]],budgetNPD[#Headers],0))</f>
        <v>0</v>
      </c>
      <c r="F19" s="60">
        <f ca="1">INDEX(budgetNPD[],MATCH("Subtotal " &amp; budgetProjectPlan[[#This Row],[Category]],budgetNPD[Category],0),MATCH(budgetProjectPlan[[#Headers],[Final]],budgetNPD[#Headers],0))</f>
        <v>0</v>
      </c>
      <c r="G19" s="60">
        <f ca="1">SUM(budgetProjectPlan[[#This Row],[Milestone 1]:[Final]])</f>
        <v>0</v>
      </c>
      <c r="H19" s="60">
        <f>ROW()-ROW(budgetProjectPlan[#Headers])</f>
        <v>2</v>
      </c>
      <c r="I19" s="60">
        <f>IF(budgetProjectPlan[row] &lt;= numCategories +3, budgetProjectPlan[row]-1, MOD(budgetProjectPlan[row]-1,numCategories+3) + IF(MOD(budgetProjectPlan[row]-2,numCategories+2)&gt;numCategories+1, 1,0))</f>
        <v>1</v>
      </c>
      <c r="J19" s="60">
        <f>IFERROR(INDEX(directors[Last],MAX(1,FLOOR((budgetProjectPlan[row]-1)/(numCategories+3)+1,1))),1)</f>
        <v>0</v>
      </c>
      <c r="L19"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Equipment</v>
      </c>
      <c r="M19" s="85">
        <f ca="1">budgetProjectPlan[[#This Row],[Milestone 1]]</f>
        <v>0</v>
      </c>
      <c r="N19" s="85">
        <f ca="1">budgetProjectPlan[[#This Row],[Milestone 2]]</f>
        <v>0</v>
      </c>
      <c r="O19" s="85">
        <f ca="1">budgetProjectPlan[[#This Row],[Milestone 3]]</f>
        <v>0</v>
      </c>
      <c r="P19" s="85">
        <f ca="1">budgetProjectPlan[[#This Row],[Milestone 4]]</f>
        <v>0</v>
      </c>
      <c r="Q19" s="85">
        <f ca="1">budgetProjectPlan[[#This Row],[Final]]</f>
        <v>0</v>
      </c>
      <c r="R19" s="60">
        <f ca="1">SUM(budgetSummary[[#This Row],[Milestone 1]:[Final]])</f>
        <v>0</v>
      </c>
      <c r="S19" s="60">
        <f>ROW()-ROW(budgetSummary[#Headers])</f>
        <v>2</v>
      </c>
      <c r="T19" s="60">
        <f>IF(budgetSummary[row] &lt;= numCategories +3, budgetSummary[row]-1, MOD(budgetSummary[row]-1,numCategories+3) + IF(MOD(budgetSummary[row]-2,numCategories+2)&gt;numCategories+1, 1,0))</f>
        <v>1</v>
      </c>
      <c r="U19" s="60">
        <f>IFERROR(INDEX(directors[Last],MAX(1,FLOOR((budgetSummary[row]-1)/(numCategories+3)+1,1))),1)</f>
        <v>0</v>
      </c>
    </row>
    <row r="20" spans="1:21" ht="15" customHeight="1" x14ac:dyDescent="0.25">
      <c r="A20"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Training</v>
      </c>
      <c r="B20" s="60">
        <f ca="1">INDEX(budgetNPD[],MATCH("Subtotal " &amp; budgetProjectPlan[[#This Row],[Category]],budgetNPD[Category],0),MATCH(budgetProjectPlan[[#Headers],[Milestone 1]],budgetNPD[#Headers],0))</f>
        <v>0</v>
      </c>
      <c r="C20" s="60">
        <f ca="1">INDEX(budgetNPD[],MATCH("Subtotal " &amp; budgetProjectPlan[[#This Row],[Category]],budgetNPD[Category],0),MATCH(budgetProjectPlan[[#Headers],[Milestone 2]],budgetNPD[#Headers],0))</f>
        <v>0</v>
      </c>
      <c r="D20" s="60">
        <f ca="1">INDEX(budgetNPD[],MATCH("Subtotal " &amp; budgetProjectPlan[[#This Row],[Category]],budgetNPD[Category],0),MATCH(budgetProjectPlan[[#Headers],[Milestone 3]],budgetNPD[#Headers],0))</f>
        <v>0</v>
      </c>
      <c r="E20" s="60">
        <f ca="1">INDEX(budgetNPD[],MATCH("Subtotal " &amp; budgetProjectPlan[[#This Row],[Category]],budgetNPD[Category],0),MATCH(budgetProjectPlan[[#Headers],[Milestone 4]],budgetNPD[#Headers],0))</f>
        <v>0</v>
      </c>
      <c r="F20" s="60">
        <f ca="1">INDEX(budgetNPD[],MATCH("Subtotal " &amp; budgetProjectPlan[[#This Row],[Category]],budgetNPD[Category],0),MATCH(budgetProjectPlan[[#Headers],[Final]],budgetNPD[#Headers],0))</f>
        <v>0</v>
      </c>
      <c r="G20" s="60">
        <f ca="1">SUM(budgetProjectPlan[[#This Row],[Milestone 1]:[Final]])</f>
        <v>0</v>
      </c>
      <c r="H20" s="60">
        <f>ROW()-ROW(budgetProjectPlan[#Headers])</f>
        <v>3</v>
      </c>
      <c r="I20" s="60">
        <f>IF(budgetProjectPlan[row] &lt;= numCategories +3, budgetProjectPlan[row]-1, MOD(budgetProjectPlan[row]-1,numCategories+3) + IF(MOD(budgetProjectPlan[row]-2,numCategories+2)&gt;numCategories+1, 1,0))</f>
        <v>2</v>
      </c>
      <c r="J20" s="60">
        <f>IFERROR(INDEX(directors[Last],MAX(1,FLOOR((budgetProjectPlan[row]-1)/(numCategories+3)+1,1))),1)</f>
        <v>0</v>
      </c>
      <c r="L20"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Training</v>
      </c>
      <c r="M20" s="85">
        <f ca="1">budgetProjectPlan[[#This Row],[Milestone 1]]</f>
        <v>0</v>
      </c>
      <c r="N20" s="85">
        <f ca="1">budgetProjectPlan[[#This Row],[Milestone 2]]</f>
        <v>0</v>
      </c>
      <c r="O20" s="85">
        <f ca="1">budgetProjectPlan[[#This Row],[Milestone 3]]</f>
        <v>0</v>
      </c>
      <c r="P20" s="85">
        <f ca="1">budgetProjectPlan[[#This Row],[Milestone 4]]</f>
        <v>0</v>
      </c>
      <c r="Q20" s="85">
        <f ca="1">budgetProjectPlan[[#This Row],[Final]]</f>
        <v>0</v>
      </c>
      <c r="R20" s="60">
        <f ca="1">SUM(budgetSummary[[#This Row],[Milestone 1]:[Final]])</f>
        <v>0</v>
      </c>
      <c r="S20" s="60">
        <f>ROW()-ROW(budgetSummary[#Headers])</f>
        <v>3</v>
      </c>
      <c r="T20" s="60">
        <f>IF(budgetSummary[row] &lt;= numCategories +3, budgetSummary[row]-1, MOD(budgetSummary[row]-1,numCategories+3) + IF(MOD(budgetSummary[row]-2,numCategories+2)&gt;numCategories+1, 1,0))</f>
        <v>2</v>
      </c>
      <c r="U20" s="60">
        <f>IFERROR(INDEX(directors[Last],MAX(1,FLOOR((budgetSummary[row]-1)/(numCategories+3)+1,1))),1)</f>
        <v>0</v>
      </c>
    </row>
    <row r="21" spans="1:21" ht="15" customHeight="1" x14ac:dyDescent="0.25">
      <c r="A21"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Communication &amp; Publication</v>
      </c>
      <c r="B21" s="60">
        <f ca="1">INDEX(budgetNPD[],MATCH("Subtotal " &amp; budgetProjectPlan[[#This Row],[Category]],budgetNPD[Category],0),MATCH(budgetProjectPlan[[#Headers],[Milestone 1]],budgetNPD[#Headers],0))</f>
        <v>0</v>
      </c>
      <c r="C21" s="60">
        <f ca="1">INDEX(budgetNPD[],MATCH("Subtotal " &amp; budgetProjectPlan[[#This Row],[Category]],budgetNPD[Category],0),MATCH(budgetProjectPlan[[#Headers],[Milestone 2]],budgetNPD[#Headers],0))</f>
        <v>0</v>
      </c>
      <c r="D21" s="60">
        <f ca="1">INDEX(budgetNPD[],MATCH("Subtotal " &amp; budgetProjectPlan[[#This Row],[Category]],budgetNPD[Category],0),MATCH(budgetProjectPlan[[#Headers],[Milestone 3]],budgetNPD[#Headers],0))</f>
        <v>0</v>
      </c>
      <c r="E21" s="60">
        <f ca="1">INDEX(budgetNPD[],MATCH("Subtotal " &amp; budgetProjectPlan[[#This Row],[Category]],budgetNPD[Category],0),MATCH(budgetProjectPlan[[#Headers],[Milestone 4]],budgetNPD[#Headers],0))</f>
        <v>0</v>
      </c>
      <c r="F21" s="60">
        <f ca="1">INDEX(budgetNPD[],MATCH("Subtotal " &amp; budgetProjectPlan[[#This Row],[Category]],budgetNPD[Category],0),MATCH(budgetProjectPlan[[#Headers],[Final]],budgetNPD[#Headers],0))</f>
        <v>0</v>
      </c>
      <c r="G21" s="60">
        <f ca="1">SUM(budgetProjectPlan[[#This Row],[Milestone 1]:[Final]])</f>
        <v>0</v>
      </c>
      <c r="H21" s="60">
        <f>ROW()-ROW(budgetProjectPlan[#Headers])</f>
        <v>4</v>
      </c>
      <c r="I21" s="60">
        <f>IF(budgetProjectPlan[row] &lt;= numCategories +3, budgetProjectPlan[row]-1, MOD(budgetProjectPlan[row]-1,numCategories+3) + IF(MOD(budgetProjectPlan[row]-2,numCategories+2)&gt;numCategories+1, 1,0))</f>
        <v>3</v>
      </c>
      <c r="J21" s="60">
        <f>IFERROR(INDEX(directors[Last],MAX(1,FLOOR((budgetProjectPlan[row]-1)/(numCategories+3)+1,1))),1)</f>
        <v>0</v>
      </c>
      <c r="L21"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Communication &amp; Publication</v>
      </c>
      <c r="M21" s="85">
        <f ca="1">budgetProjectPlan[[#This Row],[Milestone 1]]</f>
        <v>0</v>
      </c>
      <c r="N21" s="85">
        <f ca="1">budgetProjectPlan[[#This Row],[Milestone 2]]</f>
        <v>0</v>
      </c>
      <c r="O21" s="85">
        <f ca="1">budgetProjectPlan[[#This Row],[Milestone 3]]</f>
        <v>0</v>
      </c>
      <c r="P21" s="85">
        <f ca="1">budgetProjectPlan[[#This Row],[Milestone 4]]</f>
        <v>0</v>
      </c>
      <c r="Q21" s="85">
        <f ca="1">budgetProjectPlan[[#This Row],[Final]]</f>
        <v>0</v>
      </c>
      <c r="R21" s="60">
        <f ca="1">SUM(budgetSummary[[#This Row],[Milestone 1]:[Final]])</f>
        <v>0</v>
      </c>
      <c r="S21" s="60">
        <f>ROW()-ROW(budgetSummary[#Headers])</f>
        <v>4</v>
      </c>
      <c r="T21" s="60">
        <f>IF(budgetSummary[row] &lt;= numCategories +3, budgetSummary[row]-1, MOD(budgetSummary[row]-1,numCategories+3) + IF(MOD(budgetSummary[row]-2,numCategories+2)&gt;numCategories+1, 1,0))</f>
        <v>3</v>
      </c>
      <c r="U21" s="60">
        <f>IFERROR(INDEX(directors[Last],MAX(1,FLOOR((budgetSummary[row]-1)/(numCategories+3)+1,1))),1)</f>
        <v>0</v>
      </c>
    </row>
    <row r="22" spans="1:21" ht="15" customHeight="1" x14ac:dyDescent="0.25">
      <c r="A22"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Travel</v>
      </c>
      <c r="B22" s="60">
        <f ca="1">INDEX(budgetNPD[],MATCH("Subtotal " &amp; budgetProjectPlan[[#This Row],[Category]],budgetNPD[Category],0),MATCH(budgetProjectPlan[[#Headers],[Milestone 1]],budgetNPD[#Headers],0))</f>
        <v>0</v>
      </c>
      <c r="C22" s="60">
        <f ca="1">INDEX(budgetNPD[],MATCH("Subtotal " &amp; budgetProjectPlan[[#This Row],[Category]],budgetNPD[Category],0),MATCH(budgetProjectPlan[[#Headers],[Milestone 2]],budgetNPD[#Headers],0))</f>
        <v>0</v>
      </c>
      <c r="D22" s="60">
        <f ca="1">INDEX(budgetNPD[],MATCH("Subtotal " &amp; budgetProjectPlan[[#This Row],[Category]],budgetNPD[Category],0),MATCH(budgetProjectPlan[[#Headers],[Milestone 3]],budgetNPD[#Headers],0))</f>
        <v>0</v>
      </c>
      <c r="E22" s="60">
        <f ca="1">INDEX(budgetNPD[],MATCH("Subtotal " &amp; budgetProjectPlan[[#This Row],[Category]],budgetNPD[Category],0),MATCH(budgetProjectPlan[[#Headers],[Milestone 4]],budgetNPD[#Headers],0))</f>
        <v>0</v>
      </c>
      <c r="F22" s="60">
        <f ca="1">INDEX(budgetNPD[],MATCH("Subtotal " &amp; budgetProjectPlan[[#This Row],[Category]],budgetNPD[Category],0),MATCH(budgetProjectPlan[[#Headers],[Final]],budgetNPD[#Headers],0))</f>
        <v>0</v>
      </c>
      <c r="G22" s="60">
        <f ca="1">SUM(budgetProjectPlan[[#This Row],[Milestone 1]:[Final]])</f>
        <v>0</v>
      </c>
      <c r="H22" s="60">
        <f>ROW()-ROW(budgetProjectPlan[#Headers])</f>
        <v>5</v>
      </c>
      <c r="I22" s="60">
        <f>IF(budgetProjectPlan[row] &lt;= numCategories +3, budgetProjectPlan[row]-1, MOD(budgetProjectPlan[row]-1,numCategories+3) + IF(MOD(budgetProjectPlan[row]-2,numCategories+2)&gt;numCategories+1, 1,0))</f>
        <v>4</v>
      </c>
      <c r="J22" s="60">
        <f>IFERROR(INDEX(directors[Last],MAX(1,FLOOR((budgetProjectPlan[row]-1)/(numCategories+3)+1,1))),1)</f>
        <v>0</v>
      </c>
      <c r="L22"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Travel</v>
      </c>
      <c r="M22" s="85">
        <f ca="1">budgetProjectPlan[[#This Row],[Milestone 1]]</f>
        <v>0</v>
      </c>
      <c r="N22" s="85">
        <f ca="1">budgetProjectPlan[[#This Row],[Milestone 2]]</f>
        <v>0</v>
      </c>
      <c r="O22" s="85">
        <f ca="1">budgetProjectPlan[[#This Row],[Milestone 3]]</f>
        <v>0</v>
      </c>
      <c r="P22" s="85">
        <f ca="1">budgetProjectPlan[[#This Row],[Milestone 4]]</f>
        <v>0</v>
      </c>
      <c r="Q22" s="85">
        <f ca="1">budgetProjectPlan[[#This Row],[Final]]</f>
        <v>0</v>
      </c>
      <c r="R22" s="60">
        <f ca="1">SUM(budgetSummary[[#This Row],[Milestone 1]:[Final]])</f>
        <v>0</v>
      </c>
      <c r="S22" s="60">
        <f>ROW()-ROW(budgetSummary[#Headers])</f>
        <v>5</v>
      </c>
      <c r="T22" s="60">
        <f>IF(budgetSummary[row] &lt;= numCategories +3, budgetSummary[row]-1, MOD(budgetSummary[row]-1,numCategories+3) + IF(MOD(budgetSummary[row]-2,numCategories+2)&gt;numCategories+1, 1,0))</f>
        <v>4</v>
      </c>
      <c r="U22" s="60">
        <f>IFERROR(INDEX(directors[Last],MAX(1,FLOOR((budgetSummary[row]-1)/(numCategories+3)+1,1))),1)</f>
        <v>0</v>
      </c>
    </row>
    <row r="23" spans="1:21" ht="15" customHeight="1" x14ac:dyDescent="0.25">
      <c r="A23"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Consumables</v>
      </c>
      <c r="B23" s="60">
        <f ca="1">INDEX(budgetNPD[],MATCH("Subtotal " &amp; budgetProjectPlan[[#This Row],[Category]],budgetNPD[Category],0),MATCH(budgetProjectPlan[[#Headers],[Milestone 1]],budgetNPD[#Headers],0))</f>
        <v>0</v>
      </c>
      <c r="C23" s="60">
        <f ca="1">INDEX(budgetNPD[],MATCH("Subtotal " &amp; budgetProjectPlan[[#This Row],[Category]],budgetNPD[Category],0),MATCH(budgetProjectPlan[[#Headers],[Milestone 2]],budgetNPD[#Headers],0))</f>
        <v>0</v>
      </c>
      <c r="D23" s="60">
        <f ca="1">INDEX(budgetNPD[],MATCH("Subtotal " &amp; budgetProjectPlan[[#This Row],[Category]],budgetNPD[Category],0),MATCH(budgetProjectPlan[[#Headers],[Milestone 3]],budgetNPD[#Headers],0))</f>
        <v>0</v>
      </c>
      <c r="E23" s="60">
        <f ca="1">INDEX(budgetNPD[],MATCH("Subtotal " &amp; budgetProjectPlan[[#This Row],[Category]],budgetNPD[Category],0),MATCH(budgetProjectPlan[[#Headers],[Milestone 4]],budgetNPD[#Headers],0))</f>
        <v>0</v>
      </c>
      <c r="F23" s="60">
        <f ca="1">INDEX(budgetNPD[],MATCH("Subtotal " &amp; budgetProjectPlan[[#This Row],[Category]],budgetNPD[Category],0),MATCH(budgetProjectPlan[[#Headers],[Final]],budgetNPD[#Headers],0))</f>
        <v>0</v>
      </c>
      <c r="G23" s="60">
        <f ca="1">SUM(budgetProjectPlan[[#This Row],[Milestone 1]:[Final]])</f>
        <v>0</v>
      </c>
      <c r="H23" s="60">
        <f>ROW()-ROW(budgetProjectPlan[#Headers])</f>
        <v>6</v>
      </c>
      <c r="I23" s="60">
        <f>IF(budgetProjectPlan[row] &lt;= numCategories +3, budgetProjectPlan[row]-1, MOD(budgetProjectPlan[row]-1,numCategories+3) + IF(MOD(budgetProjectPlan[row]-2,numCategories+2)&gt;numCategories+1, 1,0))</f>
        <v>5</v>
      </c>
      <c r="J23" s="60">
        <f>IFERROR(INDEX(directors[Last],MAX(1,FLOOR((budgetProjectPlan[row]-1)/(numCategories+3)+1,1))),1)</f>
        <v>0</v>
      </c>
      <c r="L23"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Consumables</v>
      </c>
      <c r="M23" s="85">
        <f ca="1">budgetProjectPlan[[#This Row],[Milestone 1]]</f>
        <v>0</v>
      </c>
      <c r="N23" s="85">
        <f ca="1">budgetProjectPlan[[#This Row],[Milestone 2]]</f>
        <v>0</v>
      </c>
      <c r="O23" s="85">
        <f ca="1">budgetProjectPlan[[#This Row],[Milestone 3]]</f>
        <v>0</v>
      </c>
      <c r="P23" s="85">
        <f ca="1">budgetProjectPlan[[#This Row],[Milestone 4]]</f>
        <v>0</v>
      </c>
      <c r="Q23" s="85">
        <f ca="1">budgetProjectPlan[[#This Row],[Final]]</f>
        <v>0</v>
      </c>
      <c r="R23" s="60">
        <f ca="1">SUM(budgetSummary[[#This Row],[Milestone 1]:[Final]])</f>
        <v>0</v>
      </c>
      <c r="S23" s="60">
        <f>ROW()-ROW(budgetSummary[#Headers])</f>
        <v>6</v>
      </c>
      <c r="T23" s="60">
        <f>IF(budgetSummary[row] &lt;= numCategories +3, budgetSummary[row]-1, MOD(budgetSummary[row]-1,numCategories+3) + IF(MOD(budgetSummary[row]-2,numCategories+2)&gt;numCategories+1, 1,0))</f>
        <v>5</v>
      </c>
      <c r="U23" s="60">
        <f>IFERROR(INDEX(directors[Last],MAX(1,FLOOR((budgetSummary[row]-1)/(numCategories+3)+1,1))),1)</f>
        <v>0</v>
      </c>
    </row>
    <row r="24" spans="1:21" ht="15" customHeight="1" x14ac:dyDescent="0.25">
      <c r="A24"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Other</v>
      </c>
      <c r="B24" s="60">
        <f ca="1">INDEX(budgetNPD[],MATCH("Subtotal " &amp; budgetProjectPlan[[#This Row],[Category]],budgetNPD[Category],0),MATCH(budgetProjectPlan[[#Headers],[Milestone 1]],budgetNPD[#Headers],0))</f>
        <v>0</v>
      </c>
      <c r="C24" s="60">
        <f ca="1">INDEX(budgetNPD[],MATCH("Subtotal " &amp; budgetProjectPlan[[#This Row],[Category]],budgetNPD[Category],0),MATCH(budgetProjectPlan[[#Headers],[Milestone 2]],budgetNPD[#Headers],0))</f>
        <v>0</v>
      </c>
      <c r="D24" s="60">
        <f ca="1">INDEX(budgetNPD[],MATCH("Subtotal " &amp; budgetProjectPlan[[#This Row],[Category]],budgetNPD[Category],0),MATCH(budgetProjectPlan[[#Headers],[Milestone 3]],budgetNPD[#Headers],0))</f>
        <v>0</v>
      </c>
      <c r="E24" s="60">
        <f ca="1">INDEX(budgetNPD[],MATCH("Subtotal " &amp; budgetProjectPlan[[#This Row],[Category]],budgetNPD[Category],0),MATCH(budgetProjectPlan[[#Headers],[Milestone 4]],budgetNPD[#Headers],0))</f>
        <v>0</v>
      </c>
      <c r="F24" s="60">
        <f ca="1">INDEX(budgetNPD[],MATCH("Subtotal " &amp; budgetProjectPlan[[#This Row],[Category]],budgetNPD[Category],0),MATCH(budgetProjectPlan[[#Headers],[Final]],budgetNPD[#Headers],0))</f>
        <v>0</v>
      </c>
      <c r="G24" s="60">
        <f ca="1">SUM(budgetProjectPlan[[#This Row],[Milestone 1]:[Final]])</f>
        <v>0</v>
      </c>
      <c r="H24" s="60">
        <f>ROW()-ROW(budgetProjectPlan[#Headers])</f>
        <v>7</v>
      </c>
      <c r="I24" s="60">
        <f>IF(budgetProjectPlan[row] &lt;= numCategories +3, budgetProjectPlan[row]-1, MOD(budgetProjectPlan[row]-1,numCategories+3) + IF(MOD(budgetProjectPlan[row]-2,numCategories+2)&gt;numCategories+1, 1,0))</f>
        <v>6</v>
      </c>
      <c r="J24" s="60">
        <f>IFERROR(INDEX(directors[Last],MAX(1,FLOOR((budgetProjectPlan[row]-1)/(numCategories+3)+1,1))),1)</f>
        <v>0</v>
      </c>
      <c r="L24"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Other</v>
      </c>
      <c r="M24" s="85">
        <f ca="1">budgetProjectPlan[[#This Row],[Milestone 1]]</f>
        <v>0</v>
      </c>
      <c r="N24" s="85">
        <f ca="1">budgetProjectPlan[[#This Row],[Milestone 2]]</f>
        <v>0</v>
      </c>
      <c r="O24" s="85">
        <f ca="1">budgetProjectPlan[[#This Row],[Milestone 3]]</f>
        <v>0</v>
      </c>
      <c r="P24" s="85">
        <f ca="1">budgetProjectPlan[[#This Row],[Milestone 4]]</f>
        <v>0</v>
      </c>
      <c r="Q24" s="85">
        <f ca="1">budgetProjectPlan[[#This Row],[Final]]</f>
        <v>0</v>
      </c>
      <c r="R24" s="60">
        <f ca="1">SUM(budgetSummary[[#This Row],[Milestone 1]:[Final]])</f>
        <v>0</v>
      </c>
      <c r="S24" s="60">
        <f>ROW()-ROW(budgetSummary[#Headers])</f>
        <v>7</v>
      </c>
      <c r="T24" s="60">
        <f>IF(budgetSummary[row] &lt;= numCategories +3, budgetSummary[row]-1, MOD(budgetSummary[row]-1,numCategories+3) + IF(MOD(budgetSummary[row]-2,numCategories+2)&gt;numCategories+1, 1,0))</f>
        <v>6</v>
      </c>
      <c r="U24" s="60">
        <f>IFERROR(INDEX(directors[Last],MAX(1,FLOOR((budgetSummary[row]-1)/(numCategories+3)+1,1))),1)</f>
        <v>0</v>
      </c>
    </row>
    <row r="25" spans="1:21" ht="15" customHeight="1" x14ac:dyDescent="0.25">
      <c r="A25"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Stipends</v>
      </c>
      <c r="B25" s="60">
        <f ca="1">INDEX(budgetNPD[],MATCH("Subtotal " &amp; budgetProjectPlan[[#This Row],[Category]],budgetNPD[Category],0),MATCH(budgetProjectPlan[[#Headers],[Milestone 1]],budgetNPD[#Headers],0))</f>
        <v>0</v>
      </c>
      <c r="C25" s="60">
        <f ca="1">INDEX(budgetNPD[],MATCH("Subtotal " &amp; budgetProjectPlan[[#This Row],[Category]],budgetNPD[Category],0),MATCH(budgetProjectPlan[[#Headers],[Milestone 2]],budgetNPD[#Headers],0))</f>
        <v>0</v>
      </c>
      <c r="D25" s="60">
        <f ca="1">INDEX(budgetNPD[],MATCH("Subtotal " &amp; budgetProjectPlan[[#This Row],[Category]],budgetNPD[Category],0),MATCH(budgetProjectPlan[[#Headers],[Milestone 3]],budgetNPD[#Headers],0))</f>
        <v>0</v>
      </c>
      <c r="E25" s="60">
        <f ca="1">INDEX(budgetNPD[],MATCH("Subtotal " &amp; budgetProjectPlan[[#This Row],[Category]],budgetNPD[Category],0),MATCH(budgetProjectPlan[[#Headers],[Milestone 4]],budgetNPD[#Headers],0))</f>
        <v>0</v>
      </c>
      <c r="F25" s="60">
        <f ca="1">INDEX(budgetNPD[],MATCH("Subtotal " &amp; budgetProjectPlan[[#This Row],[Category]],budgetNPD[Category],0),MATCH(budgetProjectPlan[[#Headers],[Final]],budgetNPD[#Headers],0))</f>
        <v>0</v>
      </c>
      <c r="G25" s="60">
        <f ca="1">SUM(budgetProjectPlan[[#This Row],[Milestone 1]:[Final]])</f>
        <v>0</v>
      </c>
      <c r="H25" s="60">
        <f>ROW()-ROW(budgetProjectPlan[#Headers])</f>
        <v>8</v>
      </c>
      <c r="I25" s="60">
        <f>IF(budgetProjectPlan[row] &lt;= numCategories +3, budgetProjectPlan[row]-1, MOD(budgetProjectPlan[row]-1,numCategories+3) + IF(MOD(budgetProjectPlan[row]-2,numCategories+2)&gt;numCategories+1, 1,0))</f>
        <v>7</v>
      </c>
      <c r="J25" s="60">
        <f>IFERROR(INDEX(directors[Last],MAX(1,FLOOR((budgetProjectPlan[row]-1)/(numCategories+3)+1,1))),1)</f>
        <v>0</v>
      </c>
      <c r="L25"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Stipends</v>
      </c>
      <c r="M25" s="85">
        <f ca="1">budgetProjectPlan[[#This Row],[Milestone 1]]</f>
        <v>0</v>
      </c>
      <c r="N25" s="85">
        <f ca="1">budgetProjectPlan[[#This Row],[Milestone 2]]</f>
        <v>0</v>
      </c>
      <c r="O25" s="85">
        <f ca="1">budgetProjectPlan[[#This Row],[Milestone 3]]</f>
        <v>0</v>
      </c>
      <c r="P25" s="85">
        <f ca="1">budgetProjectPlan[[#This Row],[Milestone 4]]</f>
        <v>0</v>
      </c>
      <c r="Q25" s="85">
        <f ca="1">budgetProjectPlan[[#This Row],[Final]]</f>
        <v>0</v>
      </c>
      <c r="R25" s="60">
        <f ca="1">SUM(budgetSummary[[#This Row],[Milestone 1]:[Final]])</f>
        <v>0</v>
      </c>
      <c r="S25" s="60">
        <f>ROW()-ROW(budgetSummary[#Headers])</f>
        <v>8</v>
      </c>
      <c r="T25" s="60">
        <f>IF(budgetSummary[row] &lt;= numCategories +3, budgetSummary[row]-1, MOD(budgetSummary[row]-1,numCategories+3) + IF(MOD(budgetSummary[row]-2,numCategories+2)&gt;numCategories+1, 1,0))</f>
        <v>7</v>
      </c>
      <c r="U25" s="60">
        <f>IFERROR(INDEX(directors[Last],MAX(1,FLOOR((budgetSummary[row]-1)/(numCategories+3)+1,1))),1)</f>
        <v>0</v>
      </c>
    </row>
    <row r="26" spans="1:21" ht="15" customHeight="1" x14ac:dyDescent="0.25">
      <c r="A26"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Co-financing of personnel</v>
      </c>
      <c r="B26" s="60">
        <f ca="1">INDEX(budgetNPD[],MATCH("Subtotal " &amp; budgetProjectPlan[[#This Row],[Category]],budgetNPD[Category],0),MATCH(budgetProjectPlan[[#Headers],[Milestone 1]],budgetNPD[#Headers],0))</f>
        <v>0</v>
      </c>
      <c r="C26" s="60">
        <f ca="1">INDEX(budgetNPD[],MATCH("Subtotal " &amp; budgetProjectPlan[[#This Row],[Category]],budgetNPD[Category],0),MATCH(budgetProjectPlan[[#Headers],[Milestone 2]],budgetNPD[#Headers],0))</f>
        <v>0</v>
      </c>
      <c r="D26" s="60">
        <f ca="1">INDEX(budgetNPD[],MATCH("Subtotal " &amp; budgetProjectPlan[[#This Row],[Category]],budgetNPD[Category],0),MATCH(budgetProjectPlan[[#Headers],[Milestone 3]],budgetNPD[#Headers],0))</f>
        <v>0</v>
      </c>
      <c r="E26" s="60">
        <f ca="1">INDEX(budgetNPD[],MATCH("Subtotal " &amp; budgetProjectPlan[[#This Row],[Category]],budgetNPD[Category],0),MATCH(budgetProjectPlan[[#Headers],[Milestone 4]],budgetNPD[#Headers],0))</f>
        <v>0</v>
      </c>
      <c r="F26" s="60">
        <f ca="1">INDEX(budgetNPD[],MATCH("Subtotal " &amp; budgetProjectPlan[[#This Row],[Category]],budgetNPD[Category],0),MATCH(budgetProjectPlan[[#Headers],[Final]],budgetNPD[#Headers],0))</f>
        <v>0</v>
      </c>
      <c r="G26" s="60">
        <f ca="1">SUM(budgetProjectPlan[[#This Row],[Milestone 1]:[Final]])</f>
        <v>0</v>
      </c>
      <c r="H26" s="60">
        <f>ROW()-ROW(budgetProjectPlan[#Headers])</f>
        <v>9</v>
      </c>
      <c r="I26" s="60">
        <f>IF(budgetProjectPlan[row] &lt;= numCategories +3, budgetProjectPlan[row]-1, MOD(budgetProjectPlan[row]-1,numCategories+3) + IF(MOD(budgetProjectPlan[row]-2,numCategories+2)&gt;numCategories+1, 1,0))</f>
        <v>8</v>
      </c>
      <c r="J26" s="60">
        <f>IFERROR(INDEX(directors[Last],MAX(1,FLOOR((budgetProjectPlan[row]-1)/(numCategories+3)+1,1))),1)</f>
        <v>0</v>
      </c>
      <c r="L26"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Co-financing of personnel</v>
      </c>
      <c r="M26" s="85">
        <f ca="1">budgetProjectPlan[[#This Row],[Milestone 1]]</f>
        <v>0</v>
      </c>
      <c r="N26" s="85">
        <f ca="1">budgetProjectPlan[[#This Row],[Milestone 2]]</f>
        <v>0</v>
      </c>
      <c r="O26" s="85">
        <f ca="1">budgetProjectPlan[[#This Row],[Milestone 3]]</f>
        <v>0</v>
      </c>
      <c r="P26" s="85">
        <f ca="1">budgetProjectPlan[[#This Row],[Milestone 4]]</f>
        <v>0</v>
      </c>
      <c r="Q26" s="85">
        <f ca="1">budgetProjectPlan[[#This Row],[Final]]</f>
        <v>0</v>
      </c>
      <c r="R26" s="60">
        <f ca="1">SUM(budgetSummary[[#This Row],[Milestone 1]:[Final]])</f>
        <v>0</v>
      </c>
      <c r="S26" s="60">
        <f>ROW()-ROW(budgetSummary[#Headers])</f>
        <v>9</v>
      </c>
      <c r="T26" s="60">
        <f>IF(budgetSummary[row] &lt;= numCategories +3, budgetSummary[row]-1, MOD(budgetSummary[row]-1,numCategories+3) + IF(MOD(budgetSummary[row]-2,numCategories+2)&gt;numCategories+1, 1,0))</f>
        <v>8</v>
      </c>
      <c r="U26" s="60">
        <f>IFERROR(INDEX(directors[Last],MAX(1,FLOOR((budgetSummary[row]-1)/(numCategories+3)+1,1))),1)</f>
        <v>0</v>
      </c>
    </row>
    <row r="27" spans="1:21" ht="15" customHeight="1" x14ac:dyDescent="0.25">
      <c r="A27"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Subtotal 0</v>
      </c>
      <c r="B27" s="60">
        <f t="shared" ref="B27:G27" ca="1" si="0">SUBTOTAL(9,B19:B26)</f>
        <v>0</v>
      </c>
      <c r="C27" s="60">
        <f t="shared" ca="1" si="0"/>
        <v>0</v>
      </c>
      <c r="D27" s="60">
        <f t="shared" ca="1" si="0"/>
        <v>0</v>
      </c>
      <c r="E27" s="60">
        <f t="shared" ca="1" si="0"/>
        <v>0</v>
      </c>
      <c r="F27" s="60">
        <f t="shared" ca="1" si="0"/>
        <v>0</v>
      </c>
      <c r="G27" s="60">
        <f t="shared" ca="1" si="0"/>
        <v>0</v>
      </c>
      <c r="H27" s="60">
        <f>ROW()-ROW(budgetProjectPlan[#Headers])</f>
        <v>10</v>
      </c>
      <c r="I27" s="60">
        <f>IF(budgetProjectPlan[row] &lt;= numCategories +3, budgetProjectPlan[row]-1, MOD(budgetProjectPlan[row]-1,numCategories+3) + IF(MOD(budgetProjectPlan[row]-2,numCategories+2)&gt;numCategories+1, 1,0))</f>
        <v>9</v>
      </c>
      <c r="J27" s="60">
        <f>IFERROR(INDEX(directors[Last],MAX(1,FLOOR((budgetProjectPlan[row]-1)/(numCategories+3)+1,1))),1)</f>
        <v>0</v>
      </c>
      <c r="L27"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Subtotal 0</v>
      </c>
      <c r="M27" s="60">
        <f t="shared" ref="M27:R27" ca="1" si="1">SUBTOTAL(9,M19:M26)</f>
        <v>0</v>
      </c>
      <c r="N27" s="60">
        <f t="shared" ca="1" si="1"/>
        <v>0</v>
      </c>
      <c r="O27" s="60">
        <f t="shared" ca="1" si="1"/>
        <v>0</v>
      </c>
      <c r="P27" s="60">
        <f t="shared" ca="1" si="1"/>
        <v>0</v>
      </c>
      <c r="Q27" s="60">
        <f t="shared" ca="1" si="1"/>
        <v>0</v>
      </c>
      <c r="R27" s="60">
        <f t="shared" ca="1" si="1"/>
        <v>0</v>
      </c>
      <c r="S27" s="60">
        <f>ROW()-ROW(budgetSummary[#Headers])</f>
        <v>10</v>
      </c>
      <c r="T27" s="60">
        <f>IF(budgetSummary[row] &lt;= numCategories +3, budgetSummary[row]-1, MOD(budgetSummary[row]-1,numCategories+3) + IF(MOD(budgetSummary[row]-2,numCategories+2)&gt;numCategories+1, 1,0))</f>
        <v>9</v>
      </c>
      <c r="U27" s="60">
        <f>IFERROR(INDEX(directors[Last],MAX(1,FLOOR((budgetSummary[row]-1)/(numCategories+3)+1,1))),1)</f>
        <v>0</v>
      </c>
    </row>
    <row r="28" spans="1:21" ht="15" customHeight="1" x14ac:dyDescent="0.25">
      <c r="A28"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c>
      <c r="G28" s="60">
        <f>SUM(budgetProjectPlan[[#This Row],[Milestone 1]:[Final]])</f>
        <v>0</v>
      </c>
      <c r="H28" s="60">
        <f>ROW()-ROW(budgetProjectPlan[#Headers])</f>
        <v>11</v>
      </c>
      <c r="I28" s="60">
        <f>IF(budgetProjectPlan[row] &lt;= numCategories +3, budgetProjectPlan[row]-1, MOD(budgetProjectPlan[row]-1,numCategories+3) + IF(MOD(budgetProjectPlan[row]-2,numCategories+2)&gt;numCategories+1, 1,0))</f>
        <v>10</v>
      </c>
      <c r="J28" s="60">
        <f>IFERROR(INDEX(directors[Last],MAX(1,FLOOR((budgetProjectPlan[row]-1)/(numCategories+3)+1,1))),1)</f>
        <v>0</v>
      </c>
      <c r="L28"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c>
      <c r="R28" s="60">
        <f>SUM(budgetSummary[[#This Row],[Milestone 1]:[Final]])</f>
        <v>0</v>
      </c>
      <c r="S28" s="60">
        <f>ROW()-ROW(budgetSummary[#Headers])</f>
        <v>11</v>
      </c>
      <c r="T28" s="60">
        <f>IF(budgetSummary[row] &lt;= numCategories +3, budgetSummary[row]-1, MOD(budgetSummary[row]-1,numCategories+3) + IF(MOD(budgetSummary[row]-2,numCategories+2)&gt;numCategories+1, 1,0))</f>
        <v>10</v>
      </c>
      <c r="U28" s="60">
        <f>IFERROR(INDEX(directors[Last],MAX(1,FLOOR((budgetSummary[row]-1)/(numCategories+3)+1,1))),1)</f>
        <v>0</v>
      </c>
    </row>
    <row r="29" spans="1:21" ht="15" customHeight="1" x14ac:dyDescent="0.25">
      <c r="A29"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xml:space="preserve">0 / </v>
      </c>
      <c r="G29" s="60">
        <f>SUM(budgetProjectPlan[[#This Row],[Milestone 1]:[Final]])</f>
        <v>0</v>
      </c>
      <c r="H29" s="60">
        <f>ROW()-ROW(budgetProjectPlan[#Headers])</f>
        <v>12</v>
      </c>
      <c r="I29" s="60">
        <f>IF(budgetProjectPlan[row] &lt;= numCategories +3, budgetProjectPlan[row]-1, MOD(budgetProjectPlan[row]-1,numCategories+3) + IF(MOD(budgetProjectPlan[row]-2,numCategories+2)&gt;numCategories+1, 1,0))</f>
        <v>0</v>
      </c>
      <c r="J29" s="60">
        <f>IFERROR(INDEX(directors[Last],MAX(1,FLOOR((budgetProjectPlan[row]-1)/(numCategories+3)+1,1))),1)</f>
        <v>0</v>
      </c>
      <c r="L29"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xml:space="preserve">0 / </v>
      </c>
      <c r="R29" s="60">
        <f>SUM(budgetSummary[[#This Row],[Milestone 1]:[Final]])</f>
        <v>0</v>
      </c>
      <c r="S29" s="60">
        <f>ROW()-ROW(budgetSummary[#Headers])</f>
        <v>12</v>
      </c>
      <c r="T29" s="60">
        <f>IF(budgetSummary[row] &lt;= numCategories +3, budgetSummary[row]-1, MOD(budgetSummary[row]-1,numCategories+3) + IF(MOD(budgetSummary[row]-2,numCategories+2)&gt;numCategories+1, 1,0))</f>
        <v>0</v>
      </c>
      <c r="U29" s="60">
        <f>IFERROR(INDEX(directors[Last],MAX(1,FLOOR((budgetSummary[row]-1)/(numCategories+3)+1,1))),1)</f>
        <v>0</v>
      </c>
    </row>
    <row r="30" spans="1:21" ht="15" customHeight="1" x14ac:dyDescent="0.25">
      <c r="A30"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Equipment</v>
      </c>
      <c r="B30" s="60">
        <f ca="1">INDEX(budgetPPD[],MATCH("Subtotal " &amp; budgetProjectPlan[[#This Row],[Category]],budgetPPD[Category],0),MATCH(budgetProjectPlan[[#Headers],[Milestone 1]],budgetPPD[#Headers],0))</f>
        <v>0</v>
      </c>
      <c r="C30" s="60">
        <f ca="1">INDEX(budgetPPD[],MATCH("Subtotal " &amp; budgetProjectPlan[[#This Row],[Category]],budgetPPD[Category],0),MATCH(budgetProjectPlan[[#Headers],[Milestone 2]],budgetPPD[#Headers],0))</f>
        <v>0</v>
      </c>
      <c r="D30" s="60">
        <f ca="1">INDEX(budgetPPD[],MATCH("Subtotal " &amp; budgetProjectPlan[[#This Row],[Category]],budgetPPD[Category],0),MATCH(budgetProjectPlan[[#Headers],[Milestone 3]],budgetPPD[#Headers],0))</f>
        <v>0</v>
      </c>
      <c r="E30" s="60">
        <f ca="1">INDEX(budgetPPD[],MATCH("Subtotal " &amp; budgetProjectPlan[[#This Row],[Category]],budgetPPD[Category],0),MATCH(budgetProjectPlan[[#Headers],[Milestone 4]],budgetPPD[#Headers],0))</f>
        <v>0</v>
      </c>
      <c r="F30" s="60">
        <f ca="1">INDEX(budgetPPD[],MATCH("Subtotal " &amp; budgetProjectPlan[[#This Row],[Category]],budgetPPD[Category],0),MATCH(budgetProjectPlan[[#Headers],[Final]],budgetPPD[#Headers],0))</f>
        <v>0</v>
      </c>
      <c r="G30" s="60">
        <f ca="1">SUM(budgetProjectPlan[[#This Row],[Milestone 1]:[Final]])</f>
        <v>0</v>
      </c>
      <c r="H30" s="60">
        <f>ROW()-ROW(budgetProjectPlan[#Headers])</f>
        <v>13</v>
      </c>
      <c r="I30" s="60">
        <f>IF(budgetProjectPlan[row] &lt;= numCategories +3, budgetProjectPlan[row]-1, MOD(budgetProjectPlan[row]-1,numCategories+3) + IF(MOD(budgetProjectPlan[row]-2,numCategories+2)&gt;numCategories+1, 1,0))</f>
        <v>1</v>
      </c>
      <c r="J30" s="60">
        <f>IFERROR(INDEX(directors[Last],MAX(1,FLOOR((budgetProjectPlan[row]-1)/(numCategories+3)+1,1))),1)</f>
        <v>0</v>
      </c>
      <c r="L30"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Equipment</v>
      </c>
      <c r="M30" s="85">
        <f ca="1">budgetProjectPlan[[#This Row],[Milestone 1]]</f>
        <v>0</v>
      </c>
      <c r="N30" s="85">
        <f ca="1">budgetProjectPlan[[#This Row],[Milestone 2]]</f>
        <v>0</v>
      </c>
      <c r="O30" s="85">
        <f ca="1">budgetProjectPlan[[#This Row],[Milestone 3]]</f>
        <v>0</v>
      </c>
      <c r="P30" s="85">
        <f ca="1">budgetProjectPlan[[#This Row],[Milestone 4]]</f>
        <v>0</v>
      </c>
      <c r="Q30" s="85">
        <f ca="1">budgetProjectPlan[[#This Row],[Final]]</f>
        <v>0</v>
      </c>
      <c r="R30" s="60">
        <f ca="1">SUM(budgetSummary[[#This Row],[Milestone 1]:[Final]])</f>
        <v>0</v>
      </c>
      <c r="S30" s="60">
        <f>ROW()-ROW(budgetSummary[#Headers])</f>
        <v>13</v>
      </c>
      <c r="T30" s="60">
        <f>IF(budgetSummary[row] &lt;= numCategories +3, budgetSummary[row]-1, MOD(budgetSummary[row]-1,numCategories+3) + IF(MOD(budgetSummary[row]-2,numCategories+2)&gt;numCategories+1, 1,0))</f>
        <v>1</v>
      </c>
      <c r="U30" s="60">
        <f>IFERROR(INDEX(directors[Last],MAX(1,FLOOR((budgetSummary[row]-1)/(numCategories+3)+1,1))),1)</f>
        <v>0</v>
      </c>
    </row>
    <row r="31" spans="1:21" ht="15" customHeight="1" x14ac:dyDescent="0.25">
      <c r="A31"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Training</v>
      </c>
      <c r="B31" s="60">
        <f ca="1">INDEX(budgetPPD[],MATCH("Subtotal " &amp; budgetProjectPlan[[#This Row],[Category]],budgetPPD[Category],0),MATCH(budgetProjectPlan[[#Headers],[Milestone 1]],budgetPPD[#Headers],0))</f>
        <v>0</v>
      </c>
      <c r="C31" s="60">
        <f ca="1">INDEX(budgetPPD[],MATCH("Subtotal " &amp; budgetProjectPlan[[#This Row],[Category]],budgetPPD[Category],0),MATCH(budgetProjectPlan[[#Headers],[Milestone 2]],budgetPPD[#Headers],0))</f>
        <v>0</v>
      </c>
      <c r="D31" s="60">
        <f ca="1">INDEX(budgetPPD[],MATCH("Subtotal " &amp; budgetProjectPlan[[#This Row],[Category]],budgetPPD[Category],0),MATCH(budgetProjectPlan[[#Headers],[Milestone 3]],budgetPPD[#Headers],0))</f>
        <v>0</v>
      </c>
      <c r="E31" s="60">
        <f ca="1">INDEX(budgetPPD[],MATCH("Subtotal " &amp; budgetProjectPlan[[#This Row],[Category]],budgetPPD[Category],0),MATCH(budgetProjectPlan[[#Headers],[Milestone 4]],budgetPPD[#Headers],0))</f>
        <v>0</v>
      </c>
      <c r="F31" s="60">
        <f ca="1">INDEX(budgetPPD[],MATCH("Subtotal " &amp; budgetProjectPlan[[#This Row],[Category]],budgetPPD[Category],0),MATCH(budgetProjectPlan[[#Headers],[Final]],budgetPPD[#Headers],0))</f>
        <v>0</v>
      </c>
      <c r="G31" s="60">
        <f ca="1">SUM(budgetProjectPlan[[#This Row],[Milestone 1]:[Final]])</f>
        <v>0</v>
      </c>
      <c r="H31" s="60">
        <f>ROW()-ROW(budgetProjectPlan[#Headers])</f>
        <v>14</v>
      </c>
      <c r="I31" s="60">
        <f>IF(budgetProjectPlan[row] &lt;= numCategories +3, budgetProjectPlan[row]-1, MOD(budgetProjectPlan[row]-1,numCategories+3) + IF(MOD(budgetProjectPlan[row]-2,numCategories+2)&gt;numCategories+1, 1,0))</f>
        <v>2</v>
      </c>
      <c r="J31" s="60">
        <f>IFERROR(INDEX(directors[Last],MAX(1,FLOOR((budgetProjectPlan[row]-1)/(numCategories+3)+1,1))),1)</f>
        <v>0</v>
      </c>
      <c r="L31"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Training</v>
      </c>
      <c r="M31" s="85">
        <f ca="1">budgetProjectPlan[[#This Row],[Milestone 1]]</f>
        <v>0</v>
      </c>
      <c r="N31" s="85">
        <f ca="1">budgetProjectPlan[[#This Row],[Milestone 2]]</f>
        <v>0</v>
      </c>
      <c r="O31" s="85">
        <f ca="1">budgetProjectPlan[[#This Row],[Milestone 3]]</f>
        <v>0</v>
      </c>
      <c r="P31" s="85">
        <f ca="1">budgetProjectPlan[[#This Row],[Milestone 4]]</f>
        <v>0</v>
      </c>
      <c r="Q31" s="85">
        <f ca="1">budgetProjectPlan[[#This Row],[Final]]</f>
        <v>0</v>
      </c>
      <c r="R31" s="60">
        <f ca="1">SUM(budgetSummary[[#This Row],[Milestone 1]:[Final]])</f>
        <v>0</v>
      </c>
      <c r="S31" s="60">
        <f>ROW()-ROW(budgetSummary[#Headers])</f>
        <v>14</v>
      </c>
      <c r="T31" s="60">
        <f>IF(budgetSummary[row] &lt;= numCategories +3, budgetSummary[row]-1, MOD(budgetSummary[row]-1,numCategories+3) + IF(MOD(budgetSummary[row]-2,numCategories+2)&gt;numCategories+1, 1,0))</f>
        <v>2</v>
      </c>
      <c r="U31" s="60">
        <f>IFERROR(INDEX(directors[Last],MAX(1,FLOOR((budgetSummary[row]-1)/(numCategories+3)+1,1))),1)</f>
        <v>0</v>
      </c>
    </row>
    <row r="32" spans="1:21" ht="15" customHeight="1" x14ac:dyDescent="0.25">
      <c r="A32"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Communication &amp; Publication</v>
      </c>
      <c r="B32" s="60">
        <f ca="1">INDEX(budgetPPD[],MATCH("Subtotal " &amp; budgetProjectPlan[[#This Row],[Category]],budgetPPD[Category],0),MATCH(budgetProjectPlan[[#Headers],[Milestone 1]],budgetPPD[#Headers],0))</f>
        <v>0</v>
      </c>
      <c r="C32" s="60">
        <f ca="1">INDEX(budgetPPD[],MATCH("Subtotal " &amp; budgetProjectPlan[[#This Row],[Category]],budgetPPD[Category],0),MATCH(budgetProjectPlan[[#Headers],[Milestone 2]],budgetPPD[#Headers],0))</f>
        <v>0</v>
      </c>
      <c r="D32" s="60">
        <f ca="1">INDEX(budgetPPD[],MATCH("Subtotal " &amp; budgetProjectPlan[[#This Row],[Category]],budgetPPD[Category],0),MATCH(budgetProjectPlan[[#Headers],[Milestone 3]],budgetPPD[#Headers],0))</f>
        <v>0</v>
      </c>
      <c r="E32" s="60">
        <f ca="1">INDEX(budgetPPD[],MATCH("Subtotal " &amp; budgetProjectPlan[[#This Row],[Category]],budgetPPD[Category],0),MATCH(budgetProjectPlan[[#Headers],[Milestone 4]],budgetPPD[#Headers],0))</f>
        <v>0</v>
      </c>
      <c r="F32" s="60">
        <f ca="1">INDEX(budgetPPD[],MATCH("Subtotal " &amp; budgetProjectPlan[[#This Row],[Category]],budgetPPD[Category],0),MATCH(budgetProjectPlan[[#Headers],[Final]],budgetPPD[#Headers],0))</f>
        <v>0</v>
      </c>
      <c r="G32" s="60">
        <f ca="1">SUM(budgetProjectPlan[[#This Row],[Milestone 1]:[Final]])</f>
        <v>0</v>
      </c>
      <c r="H32" s="60">
        <f>ROW()-ROW(budgetProjectPlan[#Headers])</f>
        <v>15</v>
      </c>
      <c r="I32" s="60">
        <f>IF(budgetProjectPlan[row] &lt;= numCategories +3, budgetProjectPlan[row]-1, MOD(budgetProjectPlan[row]-1,numCategories+3) + IF(MOD(budgetProjectPlan[row]-2,numCategories+2)&gt;numCategories+1, 1,0))</f>
        <v>3</v>
      </c>
      <c r="J32" s="60">
        <f>IFERROR(INDEX(directors[Last],MAX(1,FLOOR((budgetProjectPlan[row]-1)/(numCategories+3)+1,1))),1)</f>
        <v>0</v>
      </c>
      <c r="L32"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Communication &amp; Publication</v>
      </c>
      <c r="M32" s="85">
        <f ca="1">budgetProjectPlan[[#This Row],[Milestone 1]]</f>
        <v>0</v>
      </c>
      <c r="N32" s="85">
        <f ca="1">budgetProjectPlan[[#This Row],[Milestone 2]]</f>
        <v>0</v>
      </c>
      <c r="O32" s="85">
        <f ca="1">budgetProjectPlan[[#This Row],[Milestone 3]]</f>
        <v>0</v>
      </c>
      <c r="P32" s="85">
        <f ca="1">budgetProjectPlan[[#This Row],[Milestone 4]]</f>
        <v>0</v>
      </c>
      <c r="Q32" s="85">
        <f ca="1">budgetProjectPlan[[#This Row],[Final]]</f>
        <v>0</v>
      </c>
      <c r="R32" s="60">
        <f ca="1">SUM(budgetSummary[[#This Row],[Milestone 1]:[Final]])</f>
        <v>0</v>
      </c>
      <c r="S32" s="60">
        <f>ROW()-ROW(budgetSummary[#Headers])</f>
        <v>15</v>
      </c>
      <c r="T32" s="60">
        <f>IF(budgetSummary[row] &lt;= numCategories +3, budgetSummary[row]-1, MOD(budgetSummary[row]-1,numCategories+3) + IF(MOD(budgetSummary[row]-2,numCategories+2)&gt;numCategories+1, 1,0))</f>
        <v>3</v>
      </c>
      <c r="U32" s="60">
        <f>IFERROR(INDEX(directors[Last],MAX(1,FLOOR((budgetSummary[row]-1)/(numCategories+3)+1,1))),1)</f>
        <v>0</v>
      </c>
    </row>
    <row r="33" spans="1:21" ht="15" customHeight="1" x14ac:dyDescent="0.25">
      <c r="A33"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Travel</v>
      </c>
      <c r="B33" s="60">
        <f ca="1">INDEX(budgetPPD[],MATCH("Subtotal " &amp; budgetProjectPlan[[#This Row],[Category]],budgetPPD[Category],0),MATCH(budgetProjectPlan[[#Headers],[Milestone 1]],budgetPPD[#Headers],0))</f>
        <v>0</v>
      </c>
      <c r="C33" s="60">
        <f ca="1">INDEX(budgetPPD[],MATCH("Subtotal " &amp; budgetProjectPlan[[#This Row],[Category]],budgetPPD[Category],0),MATCH(budgetProjectPlan[[#Headers],[Milestone 2]],budgetPPD[#Headers],0))</f>
        <v>0</v>
      </c>
      <c r="D33" s="60">
        <f ca="1">INDEX(budgetPPD[],MATCH("Subtotal " &amp; budgetProjectPlan[[#This Row],[Category]],budgetPPD[Category],0),MATCH(budgetProjectPlan[[#Headers],[Milestone 3]],budgetPPD[#Headers],0))</f>
        <v>0</v>
      </c>
      <c r="E33" s="60">
        <f ca="1">INDEX(budgetPPD[],MATCH("Subtotal " &amp; budgetProjectPlan[[#This Row],[Category]],budgetPPD[Category],0),MATCH(budgetProjectPlan[[#Headers],[Milestone 4]],budgetPPD[#Headers],0))</f>
        <v>0</v>
      </c>
      <c r="F33" s="60">
        <f ca="1">INDEX(budgetPPD[],MATCH("Subtotal " &amp; budgetProjectPlan[[#This Row],[Category]],budgetPPD[Category],0),MATCH(budgetProjectPlan[[#Headers],[Final]],budgetPPD[#Headers],0))</f>
        <v>0</v>
      </c>
      <c r="G33" s="60">
        <f ca="1">SUM(budgetProjectPlan[[#This Row],[Milestone 1]:[Final]])</f>
        <v>0</v>
      </c>
      <c r="H33" s="60">
        <f>ROW()-ROW(budgetProjectPlan[#Headers])</f>
        <v>16</v>
      </c>
      <c r="I33" s="60">
        <f>IF(budgetProjectPlan[row] &lt;= numCategories +3, budgetProjectPlan[row]-1, MOD(budgetProjectPlan[row]-1,numCategories+3) + IF(MOD(budgetProjectPlan[row]-2,numCategories+2)&gt;numCategories+1, 1,0))</f>
        <v>4</v>
      </c>
      <c r="J33" s="60">
        <f>IFERROR(INDEX(directors[Last],MAX(1,FLOOR((budgetProjectPlan[row]-1)/(numCategories+3)+1,1))),1)</f>
        <v>0</v>
      </c>
      <c r="L33"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Travel</v>
      </c>
      <c r="M33" s="85">
        <f ca="1">budgetProjectPlan[[#This Row],[Milestone 1]]</f>
        <v>0</v>
      </c>
      <c r="N33" s="85">
        <f ca="1">budgetProjectPlan[[#This Row],[Milestone 2]]</f>
        <v>0</v>
      </c>
      <c r="O33" s="85">
        <f ca="1">budgetProjectPlan[[#This Row],[Milestone 3]]</f>
        <v>0</v>
      </c>
      <c r="P33" s="85">
        <f ca="1">budgetProjectPlan[[#This Row],[Milestone 4]]</f>
        <v>0</v>
      </c>
      <c r="Q33" s="85">
        <f ca="1">budgetProjectPlan[[#This Row],[Final]]</f>
        <v>0</v>
      </c>
      <c r="R33" s="60">
        <f ca="1">SUM(budgetSummary[[#This Row],[Milestone 1]:[Final]])</f>
        <v>0</v>
      </c>
      <c r="S33" s="60">
        <f>ROW()-ROW(budgetSummary[#Headers])</f>
        <v>16</v>
      </c>
      <c r="T33" s="60">
        <f>IF(budgetSummary[row] &lt;= numCategories +3, budgetSummary[row]-1, MOD(budgetSummary[row]-1,numCategories+3) + IF(MOD(budgetSummary[row]-2,numCategories+2)&gt;numCategories+1, 1,0))</f>
        <v>4</v>
      </c>
      <c r="U33" s="60">
        <f>IFERROR(INDEX(directors[Last],MAX(1,FLOOR((budgetSummary[row]-1)/(numCategories+3)+1,1))),1)</f>
        <v>0</v>
      </c>
    </row>
    <row r="34" spans="1:21" ht="15" customHeight="1" x14ac:dyDescent="0.25">
      <c r="A34"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Consumables</v>
      </c>
      <c r="B34" s="60">
        <f ca="1">INDEX(budgetPPD[],MATCH("Subtotal " &amp; budgetProjectPlan[[#This Row],[Category]],budgetPPD[Category],0),MATCH(budgetProjectPlan[[#Headers],[Milestone 1]],budgetPPD[#Headers],0))</f>
        <v>0</v>
      </c>
      <c r="C34" s="60">
        <f ca="1">INDEX(budgetPPD[],MATCH("Subtotal " &amp; budgetProjectPlan[[#This Row],[Category]],budgetPPD[Category],0),MATCH(budgetProjectPlan[[#Headers],[Milestone 2]],budgetPPD[#Headers],0))</f>
        <v>0</v>
      </c>
      <c r="D34" s="60">
        <f ca="1">INDEX(budgetPPD[],MATCH("Subtotal " &amp; budgetProjectPlan[[#This Row],[Category]],budgetPPD[Category],0),MATCH(budgetProjectPlan[[#Headers],[Milestone 3]],budgetPPD[#Headers],0))</f>
        <v>0</v>
      </c>
      <c r="E34" s="60">
        <f ca="1">INDEX(budgetPPD[],MATCH("Subtotal " &amp; budgetProjectPlan[[#This Row],[Category]],budgetPPD[Category],0),MATCH(budgetProjectPlan[[#Headers],[Milestone 4]],budgetPPD[#Headers],0))</f>
        <v>0</v>
      </c>
      <c r="F34" s="60">
        <f ca="1">INDEX(budgetPPD[],MATCH("Subtotal " &amp; budgetProjectPlan[[#This Row],[Category]],budgetPPD[Category],0),MATCH(budgetProjectPlan[[#Headers],[Final]],budgetPPD[#Headers],0))</f>
        <v>0</v>
      </c>
      <c r="G34" s="60">
        <f ca="1">SUM(budgetProjectPlan[[#This Row],[Milestone 1]:[Final]])</f>
        <v>0</v>
      </c>
      <c r="H34" s="60">
        <f>ROW()-ROW(budgetProjectPlan[#Headers])</f>
        <v>17</v>
      </c>
      <c r="I34" s="60">
        <f>IF(budgetProjectPlan[row] &lt;= numCategories +3, budgetProjectPlan[row]-1, MOD(budgetProjectPlan[row]-1,numCategories+3) + IF(MOD(budgetProjectPlan[row]-2,numCategories+2)&gt;numCategories+1, 1,0))</f>
        <v>5</v>
      </c>
      <c r="J34" s="60">
        <f>IFERROR(INDEX(directors[Last],MAX(1,FLOOR((budgetProjectPlan[row]-1)/(numCategories+3)+1,1))),1)</f>
        <v>0</v>
      </c>
      <c r="L34"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Consumables</v>
      </c>
      <c r="M34" s="85">
        <f ca="1">budgetProjectPlan[[#This Row],[Milestone 1]]</f>
        <v>0</v>
      </c>
      <c r="N34" s="85">
        <f ca="1">budgetProjectPlan[[#This Row],[Milestone 2]]</f>
        <v>0</v>
      </c>
      <c r="O34" s="85">
        <f ca="1">budgetProjectPlan[[#This Row],[Milestone 3]]</f>
        <v>0</v>
      </c>
      <c r="P34" s="85">
        <f ca="1">budgetProjectPlan[[#This Row],[Milestone 4]]</f>
        <v>0</v>
      </c>
      <c r="Q34" s="85">
        <f ca="1">budgetProjectPlan[[#This Row],[Final]]</f>
        <v>0</v>
      </c>
      <c r="R34" s="60">
        <f ca="1">SUM(budgetSummary[[#This Row],[Milestone 1]:[Final]])</f>
        <v>0</v>
      </c>
      <c r="S34" s="60">
        <f>ROW()-ROW(budgetSummary[#Headers])</f>
        <v>17</v>
      </c>
      <c r="T34" s="60">
        <f>IF(budgetSummary[row] &lt;= numCategories +3, budgetSummary[row]-1, MOD(budgetSummary[row]-1,numCategories+3) + IF(MOD(budgetSummary[row]-2,numCategories+2)&gt;numCategories+1, 1,0))</f>
        <v>5</v>
      </c>
      <c r="U34" s="60">
        <f>IFERROR(INDEX(directors[Last],MAX(1,FLOOR((budgetSummary[row]-1)/(numCategories+3)+1,1))),1)</f>
        <v>0</v>
      </c>
    </row>
    <row r="35" spans="1:21" ht="15" customHeight="1" x14ac:dyDescent="0.25">
      <c r="A35"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Other</v>
      </c>
      <c r="B35" s="60">
        <f ca="1">INDEX(budgetPPD[],MATCH("Subtotal " &amp; budgetProjectPlan[[#This Row],[Category]],budgetPPD[Category],0),MATCH(budgetProjectPlan[[#Headers],[Milestone 1]],budgetPPD[#Headers],0))</f>
        <v>0</v>
      </c>
      <c r="C35" s="60">
        <f ca="1">INDEX(budgetPPD[],MATCH("Subtotal " &amp; budgetProjectPlan[[#This Row],[Category]],budgetPPD[Category],0),MATCH(budgetProjectPlan[[#Headers],[Milestone 2]],budgetPPD[#Headers],0))</f>
        <v>0</v>
      </c>
      <c r="D35" s="60">
        <f ca="1">INDEX(budgetPPD[],MATCH("Subtotal " &amp; budgetProjectPlan[[#This Row],[Category]],budgetPPD[Category],0),MATCH(budgetProjectPlan[[#Headers],[Milestone 3]],budgetPPD[#Headers],0))</f>
        <v>0</v>
      </c>
      <c r="E35" s="60">
        <f ca="1">INDEX(budgetPPD[],MATCH("Subtotal " &amp; budgetProjectPlan[[#This Row],[Category]],budgetPPD[Category],0),MATCH(budgetProjectPlan[[#Headers],[Milestone 4]],budgetPPD[#Headers],0))</f>
        <v>0</v>
      </c>
      <c r="F35" s="60">
        <f ca="1">INDEX(budgetPPD[],MATCH("Subtotal " &amp; budgetProjectPlan[[#This Row],[Category]],budgetPPD[Category],0),MATCH(budgetProjectPlan[[#Headers],[Final]],budgetPPD[#Headers],0))</f>
        <v>0</v>
      </c>
      <c r="G35" s="60">
        <f ca="1">SUM(budgetProjectPlan[[#This Row],[Milestone 1]:[Final]])</f>
        <v>0</v>
      </c>
      <c r="H35" s="60">
        <f>ROW()-ROW(budgetProjectPlan[#Headers])</f>
        <v>18</v>
      </c>
      <c r="I35" s="60">
        <f>IF(budgetProjectPlan[row] &lt;= numCategories +3, budgetProjectPlan[row]-1, MOD(budgetProjectPlan[row]-1,numCategories+3) + IF(MOD(budgetProjectPlan[row]-2,numCategories+2)&gt;numCategories+1, 1,0))</f>
        <v>6</v>
      </c>
      <c r="J35" s="60">
        <f>IFERROR(INDEX(directors[Last],MAX(1,FLOOR((budgetProjectPlan[row]-1)/(numCategories+3)+1,1))),1)</f>
        <v>0</v>
      </c>
      <c r="L35"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Other</v>
      </c>
      <c r="M35" s="85">
        <f ca="1">budgetProjectPlan[[#This Row],[Milestone 1]]</f>
        <v>0</v>
      </c>
      <c r="N35" s="85">
        <f ca="1">budgetProjectPlan[[#This Row],[Milestone 2]]</f>
        <v>0</v>
      </c>
      <c r="O35" s="85">
        <f ca="1">budgetProjectPlan[[#This Row],[Milestone 3]]</f>
        <v>0</v>
      </c>
      <c r="P35" s="85">
        <f ca="1">budgetProjectPlan[[#This Row],[Milestone 4]]</f>
        <v>0</v>
      </c>
      <c r="Q35" s="85">
        <f ca="1">budgetProjectPlan[[#This Row],[Final]]</f>
        <v>0</v>
      </c>
      <c r="R35" s="60">
        <f ca="1">SUM(budgetSummary[[#This Row],[Milestone 1]:[Final]])</f>
        <v>0</v>
      </c>
      <c r="S35" s="60">
        <f>ROW()-ROW(budgetSummary[#Headers])</f>
        <v>18</v>
      </c>
      <c r="T35" s="60">
        <f>IF(budgetSummary[row] &lt;= numCategories +3, budgetSummary[row]-1, MOD(budgetSummary[row]-1,numCategories+3) + IF(MOD(budgetSummary[row]-2,numCategories+2)&gt;numCategories+1, 1,0))</f>
        <v>6</v>
      </c>
      <c r="U35" s="60">
        <f>IFERROR(INDEX(directors[Last],MAX(1,FLOOR((budgetSummary[row]-1)/(numCategories+3)+1,1))),1)</f>
        <v>0</v>
      </c>
    </row>
    <row r="36" spans="1:21" ht="15" customHeight="1" x14ac:dyDescent="0.25">
      <c r="A36"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Stipends</v>
      </c>
      <c r="B36" s="60">
        <f ca="1">INDEX(budgetPPD[],MATCH("Subtotal " &amp; budgetProjectPlan[[#This Row],[Category]],budgetPPD[Category],0),MATCH(budgetProjectPlan[[#Headers],[Milestone 1]],budgetPPD[#Headers],0))</f>
        <v>0</v>
      </c>
      <c r="C36" s="60">
        <f ca="1">INDEX(budgetPPD[],MATCH("Subtotal " &amp; budgetProjectPlan[[#This Row],[Category]],budgetPPD[Category],0),MATCH(budgetProjectPlan[[#Headers],[Milestone 2]],budgetPPD[#Headers],0))</f>
        <v>0</v>
      </c>
      <c r="D36" s="60">
        <f ca="1">INDEX(budgetPPD[],MATCH("Subtotal " &amp; budgetProjectPlan[[#This Row],[Category]],budgetPPD[Category],0),MATCH(budgetProjectPlan[[#Headers],[Milestone 3]],budgetPPD[#Headers],0))</f>
        <v>0</v>
      </c>
      <c r="E36" s="60">
        <f ca="1">INDEX(budgetPPD[],MATCH("Subtotal " &amp; budgetProjectPlan[[#This Row],[Category]],budgetPPD[Category],0),MATCH(budgetProjectPlan[[#Headers],[Milestone 4]],budgetPPD[#Headers],0))</f>
        <v>0</v>
      </c>
      <c r="F36" s="60">
        <f ca="1">INDEX(budgetPPD[],MATCH("Subtotal " &amp; budgetProjectPlan[[#This Row],[Category]],budgetPPD[Category],0),MATCH(budgetProjectPlan[[#Headers],[Final]],budgetPPD[#Headers],0))</f>
        <v>0</v>
      </c>
      <c r="G36" s="60">
        <f ca="1">SUM(budgetProjectPlan[[#This Row],[Milestone 1]:[Final]])</f>
        <v>0</v>
      </c>
      <c r="H36" s="60">
        <f>ROW()-ROW(budgetProjectPlan[#Headers])</f>
        <v>19</v>
      </c>
      <c r="I36" s="60">
        <f>IF(budgetProjectPlan[row] &lt;= numCategories +3, budgetProjectPlan[row]-1, MOD(budgetProjectPlan[row]-1,numCategories+3) + IF(MOD(budgetProjectPlan[row]-2,numCategories+2)&gt;numCategories+1, 1,0))</f>
        <v>7</v>
      </c>
      <c r="J36" s="60">
        <f>IFERROR(INDEX(directors[Last],MAX(1,FLOOR((budgetProjectPlan[row]-1)/(numCategories+3)+1,1))),1)</f>
        <v>0</v>
      </c>
      <c r="L36"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Stipends</v>
      </c>
      <c r="M36" s="85">
        <f ca="1">budgetProjectPlan[[#This Row],[Milestone 1]]</f>
        <v>0</v>
      </c>
      <c r="N36" s="85">
        <f ca="1">budgetProjectPlan[[#This Row],[Milestone 2]]</f>
        <v>0</v>
      </c>
      <c r="O36" s="85">
        <f ca="1">budgetProjectPlan[[#This Row],[Milestone 3]]</f>
        <v>0</v>
      </c>
      <c r="P36" s="85">
        <f ca="1">budgetProjectPlan[[#This Row],[Milestone 4]]</f>
        <v>0</v>
      </c>
      <c r="Q36" s="85">
        <f ca="1">budgetProjectPlan[[#This Row],[Final]]</f>
        <v>0</v>
      </c>
      <c r="R36" s="60">
        <f ca="1">SUM(budgetSummary[[#This Row],[Milestone 1]:[Final]])</f>
        <v>0</v>
      </c>
      <c r="S36" s="60">
        <f>ROW()-ROW(budgetSummary[#Headers])</f>
        <v>19</v>
      </c>
      <c r="T36" s="60">
        <f>IF(budgetSummary[row] &lt;= numCategories +3, budgetSummary[row]-1, MOD(budgetSummary[row]-1,numCategories+3) + IF(MOD(budgetSummary[row]-2,numCategories+2)&gt;numCategories+1, 1,0))</f>
        <v>7</v>
      </c>
      <c r="U36" s="60">
        <f>IFERROR(INDEX(directors[Last],MAX(1,FLOOR((budgetSummary[row]-1)/(numCategories+3)+1,1))),1)</f>
        <v>0</v>
      </c>
    </row>
    <row r="37" spans="1:21" ht="15" customHeight="1" x14ac:dyDescent="0.25">
      <c r="A37"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Co-financing of personnel</v>
      </c>
      <c r="B37" s="60">
        <f ca="1">INDEX(budgetPPD[],MATCH("Subtotal " &amp; budgetProjectPlan[[#This Row],[Category]],budgetPPD[Category],0),MATCH(budgetProjectPlan[[#Headers],[Milestone 1]],budgetPPD[#Headers],0))</f>
        <v>0</v>
      </c>
      <c r="C37" s="60">
        <f ca="1">INDEX(budgetPPD[],MATCH("Subtotal " &amp; budgetProjectPlan[[#This Row],[Category]],budgetPPD[Category],0),MATCH(budgetProjectPlan[[#Headers],[Milestone 2]],budgetPPD[#Headers],0))</f>
        <v>0</v>
      </c>
      <c r="D37" s="60">
        <f ca="1">INDEX(budgetPPD[],MATCH("Subtotal " &amp; budgetProjectPlan[[#This Row],[Category]],budgetPPD[Category],0),MATCH(budgetProjectPlan[[#Headers],[Milestone 3]],budgetPPD[#Headers],0))</f>
        <v>0</v>
      </c>
      <c r="E37" s="60">
        <f ca="1">INDEX(budgetPPD[],MATCH("Subtotal " &amp; budgetProjectPlan[[#This Row],[Category]],budgetPPD[Category],0),MATCH(budgetProjectPlan[[#Headers],[Milestone 4]],budgetPPD[#Headers],0))</f>
        <v>0</v>
      </c>
      <c r="F37" s="60">
        <f ca="1">INDEX(budgetPPD[],MATCH("Subtotal " &amp; budgetProjectPlan[[#This Row],[Category]],budgetPPD[Category],0),MATCH(budgetProjectPlan[[#Headers],[Final]],budgetPPD[#Headers],0))</f>
        <v>0</v>
      </c>
      <c r="G37" s="60">
        <f ca="1">SUM(budgetProjectPlan[[#This Row],[Milestone 1]:[Final]])</f>
        <v>0</v>
      </c>
      <c r="H37" s="60">
        <f>ROW()-ROW(budgetProjectPlan[#Headers])</f>
        <v>20</v>
      </c>
      <c r="I37" s="60">
        <f>IF(budgetProjectPlan[row] &lt;= numCategories +3, budgetProjectPlan[row]-1, MOD(budgetProjectPlan[row]-1,numCategories+3) + IF(MOD(budgetProjectPlan[row]-2,numCategories+2)&gt;numCategories+1, 1,0))</f>
        <v>8</v>
      </c>
      <c r="J37" s="60">
        <f>IFERROR(INDEX(directors[Last],MAX(1,FLOOR((budgetProjectPlan[row]-1)/(numCategories+3)+1,1))),1)</f>
        <v>0</v>
      </c>
      <c r="L37"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Co-financing of personnel</v>
      </c>
      <c r="M37" s="85">
        <f ca="1">budgetProjectPlan[[#This Row],[Milestone 1]]</f>
        <v>0</v>
      </c>
      <c r="N37" s="85">
        <f ca="1">budgetProjectPlan[[#This Row],[Milestone 2]]</f>
        <v>0</v>
      </c>
      <c r="O37" s="85">
        <f ca="1">budgetProjectPlan[[#This Row],[Milestone 3]]</f>
        <v>0</v>
      </c>
      <c r="P37" s="85">
        <f ca="1">budgetProjectPlan[[#This Row],[Milestone 4]]</f>
        <v>0</v>
      </c>
      <c r="Q37" s="85">
        <f ca="1">budgetProjectPlan[[#This Row],[Final]]</f>
        <v>0</v>
      </c>
      <c r="R37" s="60">
        <f ca="1">SUM(budgetSummary[[#This Row],[Milestone 1]:[Final]])</f>
        <v>0</v>
      </c>
      <c r="S37" s="60">
        <f>ROW()-ROW(budgetSummary[#Headers])</f>
        <v>20</v>
      </c>
      <c r="T37" s="60">
        <f>IF(budgetSummary[row] &lt;= numCategories +3, budgetSummary[row]-1, MOD(budgetSummary[row]-1,numCategories+3) + IF(MOD(budgetSummary[row]-2,numCategories+2)&gt;numCategories+1, 1,0))</f>
        <v>8</v>
      </c>
      <c r="U37" s="60">
        <f>IFERROR(INDEX(directors[Last],MAX(1,FLOOR((budgetSummary[row]-1)/(numCategories+3)+1,1))),1)</f>
        <v>0</v>
      </c>
    </row>
    <row r="38" spans="1:21" ht="15" customHeight="1" x14ac:dyDescent="0.25">
      <c r="A38"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Subtotal 0</v>
      </c>
      <c r="B38" s="60">
        <f ca="1">SUBTOTAL(9,B30:B37)</f>
        <v>0</v>
      </c>
      <c r="C38" s="60">
        <f t="shared" ref="C38:G38" ca="1" si="2">SUBTOTAL(9,C30:C37)</f>
        <v>0</v>
      </c>
      <c r="D38" s="60">
        <f t="shared" ca="1" si="2"/>
        <v>0</v>
      </c>
      <c r="E38" s="60">
        <f t="shared" ca="1" si="2"/>
        <v>0</v>
      </c>
      <c r="F38" s="60">
        <f t="shared" ca="1" si="2"/>
        <v>0</v>
      </c>
      <c r="G38" s="60">
        <f t="shared" ca="1" si="2"/>
        <v>0</v>
      </c>
      <c r="H38" s="60">
        <f>ROW()-ROW(budgetProjectPlan[#Headers])</f>
        <v>21</v>
      </c>
      <c r="I38" s="60">
        <f>IF(budgetProjectPlan[row] &lt;= numCategories +3, budgetProjectPlan[row]-1, MOD(budgetProjectPlan[row]-1,numCategories+3) + IF(MOD(budgetProjectPlan[row]-2,numCategories+2)&gt;numCategories+1, 1,0))</f>
        <v>9</v>
      </c>
      <c r="J38" s="60">
        <f>IFERROR(INDEX(directors[Last],MAX(1,FLOOR((budgetProjectPlan[row]-1)/(numCategories+3)+1,1))),1)</f>
        <v>0</v>
      </c>
      <c r="L38"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Subtotal 0</v>
      </c>
      <c r="M38" s="60">
        <f ca="1">SUBTOTAL(9,M30:M37)</f>
        <v>0</v>
      </c>
      <c r="N38" s="60">
        <f t="shared" ref="N38:R38" ca="1" si="3">SUBTOTAL(9,N30:N37)</f>
        <v>0</v>
      </c>
      <c r="O38" s="60">
        <f t="shared" ca="1" si="3"/>
        <v>0</v>
      </c>
      <c r="P38" s="60">
        <f t="shared" ca="1" si="3"/>
        <v>0</v>
      </c>
      <c r="Q38" s="60">
        <f t="shared" ca="1" si="3"/>
        <v>0</v>
      </c>
      <c r="R38" s="60">
        <f t="shared" ca="1" si="3"/>
        <v>0</v>
      </c>
      <c r="S38" s="60">
        <f>ROW()-ROW(budgetSummary[#Headers])</f>
        <v>21</v>
      </c>
      <c r="T38" s="60">
        <f>IF(budgetSummary[row] &lt;= numCategories +3, budgetSummary[row]-1, MOD(budgetSummary[row]-1,numCategories+3) + IF(MOD(budgetSummary[row]-2,numCategories+2)&gt;numCategories+1, 1,0))</f>
        <v>9</v>
      </c>
      <c r="U38" s="60">
        <f>IFERROR(INDEX(directors[Last],MAX(1,FLOOR((budgetSummary[row]-1)/(numCategories+3)+1,1))),1)</f>
        <v>0</v>
      </c>
    </row>
    <row r="39" spans="1:21" ht="15" customHeight="1" x14ac:dyDescent="0.25">
      <c r="A39"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c>
      <c r="G39" s="60">
        <f>SUM(budgetProjectPlan[[#This Row],[Milestone 1]:[Final]])</f>
        <v>0</v>
      </c>
      <c r="H39" s="60">
        <f>ROW()-ROW(budgetProjectPlan[#Headers])</f>
        <v>22</v>
      </c>
      <c r="I39" s="60">
        <f>IF(budgetProjectPlan[row] &lt;= numCategories +3, budgetProjectPlan[row]-1, MOD(budgetProjectPlan[row]-1,numCategories+3) + IF(MOD(budgetProjectPlan[row]-2,numCategories+2)&gt;numCategories+1, 1,0))</f>
        <v>10</v>
      </c>
      <c r="J39" s="60">
        <f>IFERROR(INDEX(directors[Last],MAX(1,FLOOR((budgetProjectPlan[row]-1)/(numCategories+3)+1,1))),1)</f>
        <v>0</v>
      </c>
      <c r="L39"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c>
      <c r="R39" s="60">
        <f>SUM(budgetSummary[[#This Row],[Milestone 1]:[Final]])</f>
        <v>0</v>
      </c>
      <c r="S39" s="60">
        <f>ROW()-ROW(budgetSummary[#Headers])</f>
        <v>22</v>
      </c>
      <c r="T39" s="60">
        <f>IF(budgetSummary[row] &lt;= numCategories +3, budgetSummary[row]-1, MOD(budgetSummary[row]-1,numCategories+3) + IF(MOD(budgetSummary[row]-2,numCategories+2)&gt;numCategories+1, 1,0))</f>
        <v>10</v>
      </c>
      <c r="U39" s="60">
        <f>IFERROR(INDEX(directors[Last],MAX(1,FLOOR((budgetSummary[row]-1)/(numCategories+3)+1,1))),1)</f>
        <v>0</v>
      </c>
    </row>
    <row r="40" spans="1:21" ht="15" customHeight="1" x14ac:dyDescent="0.25">
      <c r="A40"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xml:space="preserve">0 / </v>
      </c>
      <c r="H40" s="60">
        <f>ROW()-ROW(budgetProjectPlan[#Headers])</f>
        <v>23</v>
      </c>
      <c r="I40" s="60">
        <f>IF(budgetProjectPlan[row] &lt;= numCategories +3, budgetProjectPlan[row]-1, MOD(budgetProjectPlan[row]-1,numCategories+3) + IF(MOD(budgetProjectPlan[row]-2,numCategories+2)&gt;numCategories+1, 1,0))</f>
        <v>0</v>
      </c>
      <c r="J40" s="60">
        <f>IFERROR(INDEX(directors[Last],MAX(1,FLOOR((budgetProjectPlan[row]-1)/(numCategories+3)+1,1))),1)</f>
        <v>0</v>
      </c>
      <c r="L40"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xml:space="preserve">0 / </v>
      </c>
      <c r="M40" s="85"/>
      <c r="N40" s="85"/>
      <c r="O40" s="85"/>
      <c r="P40" s="85"/>
      <c r="Q40" s="85"/>
      <c r="S40" s="60">
        <f>ROW()-ROW(budgetSummary[#Headers])</f>
        <v>23</v>
      </c>
      <c r="T40" s="60">
        <f>IF(budgetSummary[row] &lt;= numCategories +3, budgetSummary[row]-1, MOD(budgetSummary[row]-1,numCategories+3) + IF(MOD(budgetSummary[row]-2,numCategories+2)&gt;numCategories+1, 1,0))</f>
        <v>0</v>
      </c>
      <c r="U40" s="60">
        <f>IFERROR(INDEX(directors[Last],MAX(1,FLOOR((budgetSummary[row]-1)/(numCategories+3)+1,1))),1)</f>
        <v>0</v>
      </c>
    </row>
    <row r="41" spans="1:21" ht="15" customHeight="1" x14ac:dyDescent="0.25">
      <c r="A41"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Equipment</v>
      </c>
      <c r="B41" s="60">
        <f ca="1">INDEX(budgetCoA[],MATCH("Subtotal " &amp; budgetProjectPlan[[#This Row],[Category]],budgetCoA[Category],0),MATCH(budgetProjectPlan[[#Headers],[Milestone 1]],budgetCoA[#Headers],0))</f>
        <v>0</v>
      </c>
      <c r="C41" s="60">
        <f ca="1">INDEX(budgetCoA[],MATCH("Subtotal " &amp; budgetProjectPlan[[#This Row],[Category]],budgetCoA[Category],0),MATCH(budgetProjectPlan[[#Headers],[Milestone 2]],budgetCoA[#Headers],0))</f>
        <v>0</v>
      </c>
      <c r="D41" s="60">
        <f ca="1">INDEX(budgetCoA[],MATCH("Subtotal " &amp; budgetProjectPlan[[#This Row],[Category]],budgetCoA[Category],0),MATCH(budgetProjectPlan[[#Headers],[Milestone 3]],budgetCoA[#Headers],0))</f>
        <v>0</v>
      </c>
      <c r="E41" s="60">
        <f ca="1">INDEX(budgetCoA[],MATCH("Subtotal " &amp; budgetProjectPlan[[#This Row],[Category]],budgetCoA[Category],0),MATCH(budgetProjectPlan[[#Headers],[Milestone 4]],budgetCoA[#Headers],0))</f>
        <v>0</v>
      </c>
      <c r="F41" s="60">
        <f ca="1">INDEX(budgetCoA[],MATCH("Subtotal " &amp; budgetProjectPlan[[#This Row],[Category]],budgetCoA[Category],0),MATCH(budgetProjectPlan[[#Headers],[Final]],budgetCoA[#Headers],0))</f>
        <v>0</v>
      </c>
      <c r="G41" s="60">
        <f ca="1">SUM(budgetProjectPlan[[#This Row],[Milestone 1]:[Final]])</f>
        <v>0</v>
      </c>
      <c r="H41" s="60">
        <f>ROW()-ROW(budgetProjectPlan[#Headers])</f>
        <v>24</v>
      </c>
      <c r="I41" s="60">
        <f>IF(budgetProjectPlan[row] &lt;= numCategories +3, budgetProjectPlan[row]-1, MOD(budgetProjectPlan[row]-1,numCategories+3) + IF(MOD(budgetProjectPlan[row]-2,numCategories+2)&gt;numCategories+1, 1,0))</f>
        <v>1</v>
      </c>
      <c r="J41" s="60">
        <f>IFERROR(INDEX(directors[Last],MAX(1,FLOOR((budgetProjectPlan[row]-1)/(numCategories+3)+1,1))),1)</f>
        <v>0</v>
      </c>
      <c r="L41"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Equipment</v>
      </c>
      <c r="M41" s="85">
        <f ca="1">budgetProjectPlan[[#This Row],[Milestone 1]]</f>
        <v>0</v>
      </c>
      <c r="N41" s="85">
        <f ca="1">budgetProjectPlan[[#This Row],[Milestone 2]]</f>
        <v>0</v>
      </c>
      <c r="O41" s="85">
        <f ca="1">budgetProjectPlan[[#This Row],[Milestone 3]]</f>
        <v>0</v>
      </c>
      <c r="P41" s="85">
        <f ca="1">budgetProjectPlan[[#This Row],[Milestone 4]]</f>
        <v>0</v>
      </c>
      <c r="Q41" s="85">
        <f ca="1">budgetProjectPlan[[#This Row],[Final]]</f>
        <v>0</v>
      </c>
      <c r="R41" s="60">
        <f ca="1">SUM(budgetSummary[[#This Row],[Milestone 1]:[Final]])</f>
        <v>0</v>
      </c>
      <c r="S41" s="60">
        <f>ROW()-ROW(budgetSummary[#Headers])</f>
        <v>24</v>
      </c>
      <c r="T41" s="60">
        <f>IF(budgetSummary[row] &lt;= numCategories +3, budgetSummary[row]-1, MOD(budgetSummary[row]-1,numCategories+3) + IF(MOD(budgetSummary[row]-2,numCategories+2)&gt;numCategories+1, 1,0))</f>
        <v>1</v>
      </c>
      <c r="U41" s="60">
        <f>IFERROR(INDEX(directors[Last],MAX(1,FLOOR((budgetSummary[row]-1)/(numCategories+3)+1,1))),1)</f>
        <v>0</v>
      </c>
    </row>
    <row r="42" spans="1:21" ht="15" customHeight="1" x14ac:dyDescent="0.25">
      <c r="A42"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Training</v>
      </c>
      <c r="B42" s="60">
        <f ca="1">INDEX(budgetCoA[],MATCH("Subtotal " &amp; budgetProjectPlan[[#This Row],[Category]],budgetCoA[Category],0),MATCH(budgetProjectPlan[[#Headers],[Milestone 1]],budgetCoA[#Headers],0))</f>
        <v>0</v>
      </c>
      <c r="C42" s="60">
        <f ca="1">INDEX(budgetCoA[],MATCH("Subtotal " &amp; budgetProjectPlan[[#This Row],[Category]],budgetCoA[Category],0),MATCH(budgetProjectPlan[[#Headers],[Milestone 2]],budgetCoA[#Headers],0))</f>
        <v>0</v>
      </c>
      <c r="D42" s="60">
        <f ca="1">INDEX(budgetCoA[],MATCH("Subtotal " &amp; budgetProjectPlan[[#This Row],[Category]],budgetCoA[Category],0),MATCH(budgetProjectPlan[[#Headers],[Milestone 3]],budgetCoA[#Headers],0))</f>
        <v>0</v>
      </c>
      <c r="E42" s="60">
        <f ca="1">INDEX(budgetCoA[],MATCH("Subtotal " &amp; budgetProjectPlan[[#This Row],[Category]],budgetCoA[Category],0),MATCH(budgetProjectPlan[[#Headers],[Milestone 4]],budgetCoA[#Headers],0))</f>
        <v>0</v>
      </c>
      <c r="F42" s="60">
        <f ca="1">INDEX(budgetCoA[],MATCH("Subtotal " &amp; budgetProjectPlan[[#This Row],[Category]],budgetCoA[Category],0),MATCH(budgetProjectPlan[[#Headers],[Final]],budgetCoA[#Headers],0))</f>
        <v>0</v>
      </c>
      <c r="G42" s="60">
        <f ca="1">SUM(budgetProjectPlan[[#This Row],[Milestone 1]:[Final]])</f>
        <v>0</v>
      </c>
      <c r="H42" s="60">
        <f>ROW()-ROW(budgetProjectPlan[#Headers])</f>
        <v>25</v>
      </c>
      <c r="I42" s="60">
        <f>IF(budgetProjectPlan[row] &lt;= numCategories +3, budgetProjectPlan[row]-1, MOD(budgetProjectPlan[row]-1,numCategories+3) + IF(MOD(budgetProjectPlan[row]-2,numCategories+2)&gt;numCategories+1, 1,0))</f>
        <v>2</v>
      </c>
      <c r="J42" s="60">
        <f>IFERROR(INDEX(directors[Last],MAX(1,FLOOR((budgetProjectPlan[row]-1)/(numCategories+3)+1,1))),1)</f>
        <v>0</v>
      </c>
      <c r="L42"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Training</v>
      </c>
      <c r="M42" s="85">
        <f ca="1">budgetProjectPlan[[#This Row],[Milestone 1]]</f>
        <v>0</v>
      </c>
      <c r="N42" s="85">
        <f ca="1">budgetProjectPlan[[#This Row],[Milestone 2]]</f>
        <v>0</v>
      </c>
      <c r="O42" s="85">
        <f ca="1">budgetProjectPlan[[#This Row],[Milestone 3]]</f>
        <v>0</v>
      </c>
      <c r="P42" s="85">
        <f ca="1">budgetProjectPlan[[#This Row],[Milestone 4]]</f>
        <v>0</v>
      </c>
      <c r="Q42" s="85">
        <f ca="1">budgetProjectPlan[[#This Row],[Final]]</f>
        <v>0</v>
      </c>
      <c r="R42" s="60">
        <f ca="1">SUM(budgetSummary[[#This Row],[Milestone 1]:[Final]])</f>
        <v>0</v>
      </c>
      <c r="S42" s="60">
        <f>ROW()-ROW(budgetSummary[#Headers])</f>
        <v>25</v>
      </c>
      <c r="T42" s="60">
        <f>IF(budgetSummary[row] &lt;= numCategories +3, budgetSummary[row]-1, MOD(budgetSummary[row]-1,numCategories+3) + IF(MOD(budgetSummary[row]-2,numCategories+2)&gt;numCategories+1, 1,0))</f>
        <v>2</v>
      </c>
      <c r="U42" s="60">
        <f>IFERROR(INDEX(directors[Last],MAX(1,FLOOR((budgetSummary[row]-1)/(numCategories+3)+1,1))),1)</f>
        <v>0</v>
      </c>
    </row>
    <row r="43" spans="1:21" ht="15" customHeight="1" x14ac:dyDescent="0.25">
      <c r="A43"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Communication &amp; Publication</v>
      </c>
      <c r="B43" s="60">
        <f ca="1">INDEX(budgetCoA[],MATCH("Subtotal " &amp; budgetProjectPlan[[#This Row],[Category]],budgetCoA[Category],0),MATCH(budgetProjectPlan[[#Headers],[Milestone 1]],budgetCoA[#Headers],0))</f>
        <v>0</v>
      </c>
      <c r="C43" s="60">
        <f ca="1">INDEX(budgetCoA[],MATCH("Subtotal " &amp; budgetProjectPlan[[#This Row],[Category]],budgetCoA[Category],0),MATCH(budgetProjectPlan[[#Headers],[Milestone 2]],budgetCoA[#Headers],0))</f>
        <v>0</v>
      </c>
      <c r="D43" s="60">
        <f ca="1">INDEX(budgetCoA[],MATCH("Subtotal " &amp; budgetProjectPlan[[#This Row],[Category]],budgetCoA[Category],0),MATCH(budgetProjectPlan[[#Headers],[Milestone 3]],budgetCoA[#Headers],0))</f>
        <v>0</v>
      </c>
      <c r="E43" s="60">
        <f ca="1">INDEX(budgetCoA[],MATCH("Subtotal " &amp; budgetProjectPlan[[#This Row],[Category]],budgetCoA[Category],0),MATCH(budgetProjectPlan[[#Headers],[Milestone 4]],budgetCoA[#Headers],0))</f>
        <v>0</v>
      </c>
      <c r="F43" s="60">
        <f ca="1">INDEX(budgetCoA[],MATCH("Subtotal " &amp; budgetProjectPlan[[#This Row],[Category]],budgetCoA[Category],0),MATCH(budgetProjectPlan[[#Headers],[Final]],budgetCoA[#Headers],0))</f>
        <v>0</v>
      </c>
      <c r="G43" s="60">
        <f ca="1">SUM(budgetProjectPlan[[#This Row],[Milestone 1]:[Final]])</f>
        <v>0</v>
      </c>
      <c r="H43" s="60">
        <f>ROW()-ROW(budgetProjectPlan[#Headers])</f>
        <v>26</v>
      </c>
      <c r="I43" s="60">
        <f>IF(budgetProjectPlan[row] &lt;= numCategories +3, budgetProjectPlan[row]-1, MOD(budgetProjectPlan[row]-1,numCategories+3) + IF(MOD(budgetProjectPlan[row]-2,numCategories+2)&gt;numCategories+1, 1,0))</f>
        <v>3</v>
      </c>
      <c r="J43" s="60">
        <f>IFERROR(INDEX(directors[Last],MAX(1,FLOOR((budgetProjectPlan[row]-1)/(numCategories+3)+1,1))),1)</f>
        <v>0</v>
      </c>
      <c r="L43"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Communication &amp; Publication</v>
      </c>
      <c r="M43" s="85">
        <f ca="1">budgetProjectPlan[[#This Row],[Milestone 1]]</f>
        <v>0</v>
      </c>
      <c r="N43" s="85">
        <f ca="1">budgetProjectPlan[[#This Row],[Milestone 2]]</f>
        <v>0</v>
      </c>
      <c r="O43" s="85">
        <f ca="1">budgetProjectPlan[[#This Row],[Milestone 3]]</f>
        <v>0</v>
      </c>
      <c r="P43" s="85">
        <f ca="1">budgetProjectPlan[[#This Row],[Milestone 4]]</f>
        <v>0</v>
      </c>
      <c r="Q43" s="85">
        <f ca="1">budgetProjectPlan[[#This Row],[Final]]</f>
        <v>0</v>
      </c>
      <c r="R43" s="60">
        <f ca="1">SUM(budgetSummary[[#This Row],[Milestone 1]:[Final]])</f>
        <v>0</v>
      </c>
      <c r="S43" s="60">
        <f>ROW()-ROW(budgetSummary[#Headers])</f>
        <v>26</v>
      </c>
      <c r="T43" s="60">
        <f>IF(budgetSummary[row] &lt;= numCategories +3, budgetSummary[row]-1, MOD(budgetSummary[row]-1,numCategories+3) + IF(MOD(budgetSummary[row]-2,numCategories+2)&gt;numCategories+1, 1,0))</f>
        <v>3</v>
      </c>
      <c r="U43" s="60">
        <f>IFERROR(INDEX(directors[Last],MAX(1,FLOOR((budgetSummary[row]-1)/(numCategories+3)+1,1))),1)</f>
        <v>0</v>
      </c>
    </row>
    <row r="44" spans="1:21" ht="15" customHeight="1" x14ac:dyDescent="0.25">
      <c r="A44"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Travel</v>
      </c>
      <c r="B44" s="60">
        <f ca="1">INDEX(budgetCoA[],MATCH("Subtotal " &amp; budgetProjectPlan[[#This Row],[Category]],budgetCoA[Category],0),MATCH(budgetProjectPlan[[#Headers],[Milestone 1]],budgetCoA[#Headers],0))</f>
        <v>0</v>
      </c>
      <c r="C44" s="60">
        <f ca="1">INDEX(budgetCoA[],MATCH("Subtotal " &amp; budgetProjectPlan[[#This Row],[Category]],budgetCoA[Category],0),MATCH(budgetProjectPlan[[#Headers],[Milestone 2]],budgetCoA[#Headers],0))</f>
        <v>0</v>
      </c>
      <c r="D44" s="60">
        <f ca="1">INDEX(budgetCoA[],MATCH("Subtotal " &amp; budgetProjectPlan[[#This Row],[Category]],budgetCoA[Category],0),MATCH(budgetProjectPlan[[#Headers],[Milestone 3]],budgetCoA[#Headers],0))</f>
        <v>0</v>
      </c>
      <c r="E44" s="60">
        <f ca="1">INDEX(budgetCoA[],MATCH("Subtotal " &amp; budgetProjectPlan[[#This Row],[Category]],budgetCoA[Category],0),MATCH(budgetProjectPlan[[#Headers],[Milestone 4]],budgetCoA[#Headers],0))</f>
        <v>0</v>
      </c>
      <c r="F44" s="60">
        <f ca="1">INDEX(budgetCoA[],MATCH("Subtotal " &amp; budgetProjectPlan[[#This Row],[Category]],budgetCoA[Category],0),MATCH(budgetProjectPlan[[#Headers],[Final]],budgetCoA[#Headers],0))</f>
        <v>0</v>
      </c>
      <c r="G44" s="60">
        <f ca="1">SUM(budgetProjectPlan[[#This Row],[Milestone 1]:[Final]])</f>
        <v>0</v>
      </c>
      <c r="H44" s="60">
        <f>ROW()-ROW(budgetProjectPlan[#Headers])</f>
        <v>27</v>
      </c>
      <c r="I44" s="60">
        <f>IF(budgetProjectPlan[row] &lt;= numCategories +3, budgetProjectPlan[row]-1, MOD(budgetProjectPlan[row]-1,numCategories+3) + IF(MOD(budgetProjectPlan[row]-2,numCategories+2)&gt;numCategories+1, 1,0))</f>
        <v>4</v>
      </c>
      <c r="J44" s="60">
        <f>IFERROR(INDEX(directors[Last],MAX(1,FLOOR((budgetProjectPlan[row]-1)/(numCategories+3)+1,1))),1)</f>
        <v>0</v>
      </c>
      <c r="L44"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Travel</v>
      </c>
      <c r="M44" s="85">
        <f ca="1">budgetProjectPlan[[#This Row],[Milestone 1]]</f>
        <v>0</v>
      </c>
      <c r="N44" s="85">
        <f ca="1">budgetProjectPlan[[#This Row],[Milestone 2]]</f>
        <v>0</v>
      </c>
      <c r="O44" s="85">
        <f ca="1">budgetProjectPlan[[#This Row],[Milestone 3]]</f>
        <v>0</v>
      </c>
      <c r="P44" s="85">
        <f ca="1">budgetProjectPlan[[#This Row],[Milestone 4]]</f>
        <v>0</v>
      </c>
      <c r="Q44" s="85">
        <f ca="1">budgetProjectPlan[[#This Row],[Final]]</f>
        <v>0</v>
      </c>
      <c r="R44" s="60">
        <f ca="1">SUM(budgetSummary[[#This Row],[Milestone 1]:[Final]])</f>
        <v>0</v>
      </c>
      <c r="S44" s="60">
        <f>ROW()-ROW(budgetSummary[#Headers])</f>
        <v>27</v>
      </c>
      <c r="T44" s="60">
        <f>IF(budgetSummary[row] &lt;= numCategories +3, budgetSummary[row]-1, MOD(budgetSummary[row]-1,numCategories+3) + IF(MOD(budgetSummary[row]-2,numCategories+2)&gt;numCategories+1, 1,0))</f>
        <v>4</v>
      </c>
      <c r="U44" s="60">
        <f>IFERROR(INDEX(directors[Last],MAX(1,FLOOR((budgetSummary[row]-1)/(numCategories+3)+1,1))),1)</f>
        <v>0</v>
      </c>
    </row>
    <row r="45" spans="1:21" ht="15" customHeight="1" x14ac:dyDescent="0.25">
      <c r="A45"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Consumables</v>
      </c>
      <c r="B45" s="60">
        <f ca="1">INDEX(budgetCoA[],MATCH("Subtotal " &amp; budgetProjectPlan[[#This Row],[Category]],budgetCoA[Category],0),MATCH(budgetProjectPlan[[#Headers],[Milestone 1]],budgetCoA[#Headers],0))</f>
        <v>0</v>
      </c>
      <c r="C45" s="60">
        <f ca="1">INDEX(budgetCoA[],MATCH("Subtotal " &amp; budgetProjectPlan[[#This Row],[Category]],budgetCoA[Category],0),MATCH(budgetProjectPlan[[#Headers],[Milestone 2]],budgetCoA[#Headers],0))</f>
        <v>0</v>
      </c>
      <c r="D45" s="60">
        <f ca="1">INDEX(budgetCoA[],MATCH("Subtotal " &amp; budgetProjectPlan[[#This Row],[Category]],budgetCoA[Category],0),MATCH(budgetProjectPlan[[#Headers],[Milestone 3]],budgetCoA[#Headers],0))</f>
        <v>0</v>
      </c>
      <c r="E45" s="60">
        <f ca="1">INDEX(budgetCoA[],MATCH("Subtotal " &amp; budgetProjectPlan[[#This Row],[Category]],budgetCoA[Category],0),MATCH(budgetProjectPlan[[#Headers],[Milestone 4]],budgetCoA[#Headers],0))</f>
        <v>0</v>
      </c>
      <c r="F45" s="60">
        <f ca="1">INDEX(budgetCoA[],MATCH("Subtotal " &amp; budgetProjectPlan[[#This Row],[Category]],budgetCoA[Category],0),MATCH(budgetProjectPlan[[#Headers],[Final]],budgetCoA[#Headers],0))</f>
        <v>0</v>
      </c>
      <c r="G45" s="60">
        <f ca="1">SUM(budgetProjectPlan[[#This Row],[Milestone 1]:[Final]])</f>
        <v>0</v>
      </c>
      <c r="H45" s="60">
        <f>ROW()-ROW(budgetProjectPlan[#Headers])</f>
        <v>28</v>
      </c>
      <c r="I45" s="60">
        <f>IF(budgetProjectPlan[row] &lt;= numCategories +3, budgetProjectPlan[row]-1, MOD(budgetProjectPlan[row]-1,numCategories+3) + IF(MOD(budgetProjectPlan[row]-2,numCategories+2)&gt;numCategories+1, 1,0))</f>
        <v>5</v>
      </c>
      <c r="J45" s="60">
        <f>IFERROR(INDEX(directors[Last],MAX(1,FLOOR((budgetProjectPlan[row]-1)/(numCategories+3)+1,1))),1)</f>
        <v>0</v>
      </c>
      <c r="L45"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Consumables</v>
      </c>
      <c r="M45" s="85">
        <f ca="1">budgetProjectPlan[[#This Row],[Milestone 1]]</f>
        <v>0</v>
      </c>
      <c r="N45" s="85">
        <f ca="1">budgetProjectPlan[[#This Row],[Milestone 2]]</f>
        <v>0</v>
      </c>
      <c r="O45" s="85">
        <f ca="1">budgetProjectPlan[[#This Row],[Milestone 3]]</f>
        <v>0</v>
      </c>
      <c r="P45" s="85">
        <f ca="1">budgetProjectPlan[[#This Row],[Milestone 4]]</f>
        <v>0</v>
      </c>
      <c r="Q45" s="85">
        <f ca="1">budgetProjectPlan[[#This Row],[Final]]</f>
        <v>0</v>
      </c>
      <c r="R45" s="60">
        <f ca="1">SUM(budgetSummary[[#This Row],[Milestone 1]:[Final]])</f>
        <v>0</v>
      </c>
      <c r="S45" s="60">
        <f>ROW()-ROW(budgetSummary[#Headers])</f>
        <v>28</v>
      </c>
      <c r="T45" s="60">
        <f>IF(budgetSummary[row] &lt;= numCategories +3, budgetSummary[row]-1, MOD(budgetSummary[row]-1,numCategories+3) + IF(MOD(budgetSummary[row]-2,numCategories+2)&gt;numCategories+1, 1,0))</f>
        <v>5</v>
      </c>
      <c r="U45" s="60">
        <f>IFERROR(INDEX(directors[Last],MAX(1,FLOOR((budgetSummary[row]-1)/(numCategories+3)+1,1))),1)</f>
        <v>0</v>
      </c>
    </row>
    <row r="46" spans="1:21" ht="15" customHeight="1" x14ac:dyDescent="0.25">
      <c r="A46"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Other</v>
      </c>
      <c r="B46" s="60">
        <f ca="1">INDEX(budgetCoA[],MATCH("Subtotal " &amp; budgetProjectPlan[[#This Row],[Category]],budgetCoA[Category],0),MATCH(budgetProjectPlan[[#Headers],[Milestone 1]],budgetCoA[#Headers],0))</f>
        <v>0</v>
      </c>
      <c r="C46" s="60">
        <f ca="1">INDEX(budgetCoA[],MATCH("Subtotal " &amp; budgetProjectPlan[[#This Row],[Category]],budgetCoA[Category],0),MATCH(budgetProjectPlan[[#Headers],[Milestone 2]],budgetCoA[#Headers],0))</f>
        <v>0</v>
      </c>
      <c r="D46" s="60">
        <f ca="1">INDEX(budgetCoA[],MATCH("Subtotal " &amp; budgetProjectPlan[[#This Row],[Category]],budgetCoA[Category],0),MATCH(budgetProjectPlan[[#Headers],[Milestone 3]],budgetCoA[#Headers],0))</f>
        <v>0</v>
      </c>
      <c r="E46" s="60">
        <f ca="1">INDEX(budgetCoA[],MATCH("Subtotal " &amp; budgetProjectPlan[[#This Row],[Category]],budgetCoA[Category],0),MATCH(budgetProjectPlan[[#Headers],[Milestone 4]],budgetCoA[#Headers],0))</f>
        <v>0</v>
      </c>
      <c r="F46" s="60">
        <f ca="1">INDEX(budgetCoA[],MATCH("Subtotal " &amp; budgetProjectPlan[[#This Row],[Category]],budgetCoA[Category],0),MATCH(budgetProjectPlan[[#Headers],[Final]],budgetCoA[#Headers],0))</f>
        <v>0</v>
      </c>
      <c r="G46" s="60">
        <f ca="1">SUM(budgetProjectPlan[[#This Row],[Milestone 1]:[Final]])</f>
        <v>0</v>
      </c>
      <c r="H46" s="60">
        <f>ROW()-ROW(budgetProjectPlan[#Headers])</f>
        <v>29</v>
      </c>
      <c r="I46" s="60">
        <f>IF(budgetProjectPlan[row] &lt;= numCategories +3, budgetProjectPlan[row]-1, MOD(budgetProjectPlan[row]-1,numCategories+3) + IF(MOD(budgetProjectPlan[row]-2,numCategories+2)&gt;numCategories+1, 1,0))</f>
        <v>6</v>
      </c>
      <c r="J46" s="60">
        <f>IFERROR(INDEX(directors[Last],MAX(1,FLOOR((budgetProjectPlan[row]-1)/(numCategories+3)+1,1))),1)</f>
        <v>0</v>
      </c>
      <c r="L46"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Other</v>
      </c>
      <c r="M46" s="85">
        <f ca="1">budgetProjectPlan[[#This Row],[Milestone 1]]</f>
        <v>0</v>
      </c>
      <c r="N46" s="85">
        <f ca="1">budgetProjectPlan[[#This Row],[Milestone 2]]</f>
        <v>0</v>
      </c>
      <c r="O46" s="85">
        <f ca="1">budgetProjectPlan[[#This Row],[Milestone 3]]</f>
        <v>0</v>
      </c>
      <c r="P46" s="85">
        <f ca="1">budgetProjectPlan[[#This Row],[Milestone 4]]</f>
        <v>0</v>
      </c>
      <c r="Q46" s="85">
        <f ca="1">budgetProjectPlan[[#This Row],[Final]]</f>
        <v>0</v>
      </c>
      <c r="R46" s="60">
        <f ca="1">SUM(budgetSummary[[#This Row],[Milestone 1]:[Final]])</f>
        <v>0</v>
      </c>
      <c r="S46" s="60">
        <f>ROW()-ROW(budgetSummary[#Headers])</f>
        <v>29</v>
      </c>
      <c r="T46" s="60">
        <f>IF(budgetSummary[row] &lt;= numCategories +3, budgetSummary[row]-1, MOD(budgetSummary[row]-1,numCategories+3) + IF(MOD(budgetSummary[row]-2,numCategories+2)&gt;numCategories+1, 1,0))</f>
        <v>6</v>
      </c>
      <c r="U46" s="60">
        <f>IFERROR(INDEX(directors[Last],MAX(1,FLOOR((budgetSummary[row]-1)/(numCategories+3)+1,1))),1)</f>
        <v>0</v>
      </c>
    </row>
    <row r="47" spans="1:21" ht="15" customHeight="1" x14ac:dyDescent="0.25">
      <c r="A47"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Stipends</v>
      </c>
      <c r="B47" s="60">
        <f ca="1">INDEX(budgetCoA[],MATCH("Subtotal " &amp; budgetProjectPlan[[#This Row],[Category]],budgetCoA[Category],0),MATCH(budgetProjectPlan[[#Headers],[Milestone 1]],budgetCoA[#Headers],0))</f>
        <v>0</v>
      </c>
      <c r="C47" s="60">
        <f ca="1">INDEX(budgetCoA[],MATCH("Subtotal " &amp; budgetProjectPlan[[#This Row],[Category]],budgetCoA[Category],0),MATCH(budgetProjectPlan[[#Headers],[Milestone 2]],budgetCoA[#Headers],0))</f>
        <v>0</v>
      </c>
      <c r="D47" s="60">
        <f ca="1">INDEX(budgetCoA[],MATCH("Subtotal " &amp; budgetProjectPlan[[#This Row],[Category]],budgetCoA[Category],0),MATCH(budgetProjectPlan[[#Headers],[Milestone 3]],budgetCoA[#Headers],0))</f>
        <v>0</v>
      </c>
      <c r="E47" s="60">
        <f ca="1">INDEX(budgetCoA[],MATCH("Subtotal " &amp; budgetProjectPlan[[#This Row],[Category]],budgetCoA[Category],0),MATCH(budgetProjectPlan[[#Headers],[Milestone 4]],budgetCoA[#Headers],0))</f>
        <v>0</v>
      </c>
      <c r="F47" s="60">
        <f ca="1">INDEX(budgetCoA[],MATCH("Subtotal " &amp; budgetProjectPlan[[#This Row],[Category]],budgetCoA[Category],0),MATCH(budgetProjectPlan[[#Headers],[Final]],budgetCoA[#Headers],0))</f>
        <v>0</v>
      </c>
      <c r="G47" s="60">
        <f ca="1">SUM(budgetProjectPlan[[#This Row],[Milestone 1]:[Final]])</f>
        <v>0</v>
      </c>
      <c r="H47" s="60">
        <f>ROW()-ROW(budgetProjectPlan[#Headers])</f>
        <v>30</v>
      </c>
      <c r="I47" s="60">
        <f>IF(budgetProjectPlan[row] &lt;= numCategories +3, budgetProjectPlan[row]-1, MOD(budgetProjectPlan[row]-1,numCategories+3) + IF(MOD(budgetProjectPlan[row]-2,numCategories+2)&gt;numCategories+1, 1,0))</f>
        <v>7</v>
      </c>
      <c r="J47" s="60">
        <f>IFERROR(INDEX(directors[Last],MAX(1,FLOOR((budgetProjectPlan[row]-1)/(numCategories+3)+1,1))),1)</f>
        <v>0</v>
      </c>
      <c r="L47"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Stipends</v>
      </c>
      <c r="M47" s="85">
        <f ca="1">budgetProjectPlan[[#This Row],[Milestone 1]]</f>
        <v>0</v>
      </c>
      <c r="N47" s="85">
        <f ca="1">budgetProjectPlan[[#This Row],[Milestone 2]]</f>
        <v>0</v>
      </c>
      <c r="O47" s="85">
        <f ca="1">budgetProjectPlan[[#This Row],[Milestone 3]]</f>
        <v>0</v>
      </c>
      <c r="P47" s="85">
        <f ca="1">budgetProjectPlan[[#This Row],[Milestone 4]]</f>
        <v>0</v>
      </c>
      <c r="Q47" s="85">
        <f ca="1">budgetProjectPlan[[#This Row],[Final]]</f>
        <v>0</v>
      </c>
      <c r="R47" s="60">
        <f ca="1">SUM(budgetSummary[[#This Row],[Milestone 1]:[Final]])</f>
        <v>0</v>
      </c>
      <c r="S47" s="60">
        <f>ROW()-ROW(budgetSummary[#Headers])</f>
        <v>30</v>
      </c>
      <c r="T47" s="60">
        <f>IF(budgetSummary[row] &lt;= numCategories +3, budgetSummary[row]-1, MOD(budgetSummary[row]-1,numCategories+3) + IF(MOD(budgetSummary[row]-2,numCategories+2)&gt;numCategories+1, 1,0))</f>
        <v>7</v>
      </c>
      <c r="U47" s="60">
        <f>IFERROR(INDEX(directors[Last],MAX(1,FLOOR((budgetSummary[row]-1)/(numCategories+3)+1,1))),1)</f>
        <v>0</v>
      </c>
    </row>
    <row r="48" spans="1:21" ht="15" customHeight="1" x14ac:dyDescent="0.25">
      <c r="A48"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Co-financing of personnel</v>
      </c>
      <c r="B48" s="60">
        <f ca="1">INDEX(budgetCoA[],MATCH("Subtotal " &amp; budgetProjectPlan[[#This Row],[Category]],budgetCoA[Category],0),MATCH(budgetProjectPlan[[#Headers],[Milestone 1]],budgetCoA[#Headers],0))</f>
        <v>0</v>
      </c>
      <c r="C48" s="60">
        <f ca="1">INDEX(budgetCoA[],MATCH("Subtotal " &amp; budgetProjectPlan[[#This Row],[Category]],budgetCoA[Category],0),MATCH(budgetProjectPlan[[#Headers],[Milestone 2]],budgetCoA[#Headers],0))</f>
        <v>0</v>
      </c>
      <c r="D48" s="60">
        <f ca="1">INDEX(budgetCoA[],MATCH("Subtotal " &amp; budgetProjectPlan[[#This Row],[Category]],budgetCoA[Category],0),MATCH(budgetProjectPlan[[#Headers],[Milestone 3]],budgetCoA[#Headers],0))</f>
        <v>0</v>
      </c>
      <c r="E48" s="60">
        <f ca="1">INDEX(budgetCoA[],MATCH("Subtotal " &amp; budgetProjectPlan[[#This Row],[Category]],budgetCoA[Category],0),MATCH(budgetProjectPlan[[#Headers],[Milestone 4]],budgetCoA[#Headers],0))</f>
        <v>0</v>
      </c>
      <c r="F48" s="60">
        <f ca="1">INDEX(budgetCoA[],MATCH("Subtotal " &amp; budgetProjectPlan[[#This Row],[Category]],budgetCoA[Category],0),MATCH(budgetProjectPlan[[#Headers],[Final]],budgetCoA[#Headers],0))</f>
        <v>0</v>
      </c>
      <c r="G48" s="60">
        <f ca="1">SUM(budgetProjectPlan[[#This Row],[Milestone 1]:[Final]])</f>
        <v>0</v>
      </c>
      <c r="H48" s="60">
        <f>ROW()-ROW(budgetProjectPlan[#Headers])</f>
        <v>31</v>
      </c>
      <c r="I48" s="60">
        <f>IF(budgetProjectPlan[row] &lt;= numCategories +3, budgetProjectPlan[row]-1, MOD(budgetProjectPlan[row]-1,numCategories+3) + IF(MOD(budgetProjectPlan[row]-2,numCategories+2)&gt;numCategories+1, 1,0))</f>
        <v>8</v>
      </c>
      <c r="J48" s="60">
        <f>IFERROR(INDEX(directors[Last],MAX(1,FLOOR((budgetProjectPlan[row]-1)/(numCategories+3)+1,1))),1)</f>
        <v>0</v>
      </c>
      <c r="L48"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Co-financing of personnel</v>
      </c>
      <c r="M48" s="85">
        <f ca="1">budgetProjectPlan[[#This Row],[Milestone 1]]</f>
        <v>0</v>
      </c>
      <c r="N48" s="85">
        <f ca="1">budgetProjectPlan[[#This Row],[Milestone 2]]</f>
        <v>0</v>
      </c>
      <c r="O48" s="85">
        <f ca="1">budgetProjectPlan[[#This Row],[Milestone 3]]</f>
        <v>0</v>
      </c>
      <c r="P48" s="85">
        <f ca="1">budgetProjectPlan[[#This Row],[Milestone 4]]</f>
        <v>0</v>
      </c>
      <c r="Q48" s="85">
        <f ca="1">budgetProjectPlan[[#This Row],[Final]]</f>
        <v>0</v>
      </c>
      <c r="R48" s="60">
        <f ca="1">SUM(budgetSummary[[#This Row],[Milestone 1]:[Final]])</f>
        <v>0</v>
      </c>
      <c r="S48" s="60">
        <f>ROW()-ROW(budgetSummary[#Headers])</f>
        <v>31</v>
      </c>
      <c r="T48" s="60">
        <f>IF(budgetSummary[row] &lt;= numCategories +3, budgetSummary[row]-1, MOD(budgetSummary[row]-1,numCategories+3) + IF(MOD(budgetSummary[row]-2,numCategories+2)&gt;numCategories+1, 1,0))</f>
        <v>8</v>
      </c>
      <c r="U48" s="60">
        <f>IFERROR(INDEX(directors[Last],MAX(1,FLOOR((budgetSummary[row]-1)/(numCategories+3)+1,1))),1)</f>
        <v>0</v>
      </c>
    </row>
    <row r="49" spans="1:21" ht="15" customHeight="1" x14ac:dyDescent="0.25">
      <c r="A49"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Subtotal 0</v>
      </c>
      <c r="B49" s="60">
        <f ca="1">SUBTOTAL(9,B41:B48)</f>
        <v>0</v>
      </c>
      <c r="C49" s="60">
        <f t="shared" ref="C49:G49" ca="1" si="4">SUBTOTAL(9,C41:C48)</f>
        <v>0</v>
      </c>
      <c r="D49" s="60">
        <f t="shared" ca="1" si="4"/>
        <v>0</v>
      </c>
      <c r="E49" s="60">
        <f t="shared" ca="1" si="4"/>
        <v>0</v>
      </c>
      <c r="F49" s="60">
        <f t="shared" ca="1" si="4"/>
        <v>0</v>
      </c>
      <c r="G49" s="60">
        <f t="shared" ca="1" si="4"/>
        <v>0</v>
      </c>
      <c r="H49" s="60">
        <f>ROW()-ROW(budgetProjectPlan[#Headers])</f>
        <v>32</v>
      </c>
      <c r="I49" s="60">
        <f>IF(budgetProjectPlan[row] &lt;= numCategories +3, budgetProjectPlan[row]-1, MOD(budgetProjectPlan[row]-1,numCategories+3) + IF(MOD(budgetProjectPlan[row]-2,numCategories+2)&gt;numCategories+1, 1,0))</f>
        <v>9</v>
      </c>
      <c r="J49" s="60">
        <f>IFERROR(INDEX(directors[Last],MAX(1,FLOOR((budgetProjectPlan[row]-1)/(numCategories+3)+1,1))),1)</f>
        <v>0</v>
      </c>
      <c r="L49"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Subtotal 0</v>
      </c>
      <c r="M49" s="60">
        <f ca="1">SUBTOTAL(9,M41:M48)</f>
        <v>0</v>
      </c>
      <c r="N49" s="60">
        <f t="shared" ref="N49:Q49" ca="1" si="5">SUBTOTAL(9,N41:N48)</f>
        <v>0</v>
      </c>
      <c r="O49" s="60">
        <f t="shared" ca="1" si="5"/>
        <v>0</v>
      </c>
      <c r="P49" s="60">
        <f t="shared" ca="1" si="5"/>
        <v>0</v>
      </c>
      <c r="Q49" s="60">
        <f t="shared" ca="1" si="5"/>
        <v>0</v>
      </c>
      <c r="R49" s="60">
        <f ca="1">SUM(budgetSummary[[#This Row],[Milestone 1]:[Final]])</f>
        <v>0</v>
      </c>
      <c r="S49" s="60">
        <f>ROW()-ROW(budgetSummary[#Headers])</f>
        <v>32</v>
      </c>
      <c r="T49" s="60">
        <f>IF(budgetSummary[row] &lt;= numCategories +3, budgetSummary[row]-1, MOD(budgetSummary[row]-1,numCategories+3) + IF(MOD(budgetSummary[row]-2,numCategories+2)&gt;numCategories+1, 1,0))</f>
        <v>9</v>
      </c>
      <c r="U49" s="60">
        <f>IFERROR(INDEX(directors[Last],MAX(1,FLOOR((budgetSummary[row]-1)/(numCategories+3)+1,1))),1)</f>
        <v>0</v>
      </c>
    </row>
    <row r="50" spans="1:21" ht="15" customHeight="1" x14ac:dyDescent="0.25">
      <c r="A50"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c>
      <c r="H50" s="60">
        <f>ROW()-ROW(budgetProjectPlan[#Headers])</f>
        <v>33</v>
      </c>
      <c r="I50" s="60">
        <f>IF(budgetProjectPlan[row] &lt;= numCategories +3, budgetProjectPlan[row]-1, MOD(budgetProjectPlan[row]-1,numCategories+3) + IF(MOD(budgetProjectPlan[row]-2,numCategories+2)&gt;numCategories+1, 1,0))</f>
        <v>10</v>
      </c>
      <c r="J50" s="60">
        <f>IFERROR(INDEX(directors[Last],MAX(1,FLOOR((budgetProjectPlan[row]-1)/(numCategories+3)+1,1))),1)</f>
        <v>0</v>
      </c>
      <c r="L50"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c>
      <c r="M50" s="85"/>
      <c r="N50" s="85"/>
      <c r="O50" s="85"/>
      <c r="P50" s="85"/>
      <c r="Q50" s="85"/>
      <c r="S50" s="60">
        <f>ROW()-ROW(budgetSummary[#Headers])</f>
        <v>33</v>
      </c>
      <c r="T50" s="60">
        <f>IF(budgetSummary[row] &lt;= numCategories +3, budgetSummary[row]-1, MOD(budgetSummary[row]-1,numCategories+3) + IF(MOD(budgetSummary[row]-2,numCategories+2)&gt;numCategories+1, 1,0))</f>
        <v>10</v>
      </c>
      <c r="U50" s="60">
        <f>IFERROR(INDEX(directors[Last],MAX(1,FLOOR((budgetSummary[row]-1)/(numCategories+3)+1,1))),1)</f>
        <v>0</v>
      </c>
    </row>
    <row r="51" spans="1:21" ht="15" customHeight="1" x14ac:dyDescent="0.25">
      <c r="A51"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xml:space="preserve">0 / </v>
      </c>
      <c r="H51" s="60">
        <f>ROW()-ROW(budgetProjectPlan[#Headers])</f>
        <v>34</v>
      </c>
      <c r="I51" s="60">
        <f>IF(budgetProjectPlan[row] &lt;= numCategories +3, budgetProjectPlan[row]-1, MOD(budgetProjectPlan[row]-1,numCategories+3) + IF(MOD(budgetProjectPlan[row]-2,numCategories+2)&gt;numCategories+1, 1,0))</f>
        <v>0</v>
      </c>
      <c r="J51" s="60">
        <f>IFERROR(INDEX(directors[Last],MAX(1,FLOOR((budgetProjectPlan[row]-1)/(numCategories+3)+1,1))),1)</f>
        <v>0</v>
      </c>
      <c r="L51"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xml:space="preserve">0 / </v>
      </c>
      <c r="M51" s="85"/>
      <c r="N51" s="85"/>
      <c r="O51" s="85"/>
      <c r="P51" s="85"/>
      <c r="Q51" s="85"/>
      <c r="R51" s="60">
        <f>SUM(budgetSummary[[#This Row],[Milestone 1]:[Final]])</f>
        <v>0</v>
      </c>
      <c r="S51" s="60">
        <f>ROW()-ROW(budgetSummary[#Headers])</f>
        <v>34</v>
      </c>
      <c r="T51" s="60">
        <f>IF(budgetSummary[row] &lt;= numCategories +3, budgetSummary[row]-1, MOD(budgetSummary[row]-1,numCategories+3) + IF(MOD(budgetSummary[row]-2,numCategories+2)&gt;numCategories+1, 1,0))</f>
        <v>0</v>
      </c>
      <c r="U51" s="60">
        <f>IFERROR(INDEX(directors[Last],MAX(1,FLOOR((budgetSummary[row]-1)/(numCategories+3)+1,1))),1)</f>
        <v>0</v>
      </c>
    </row>
    <row r="52" spans="1:21" ht="15" customHeight="1" x14ac:dyDescent="0.25">
      <c r="A52"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Equipment</v>
      </c>
      <c r="B52" s="60">
        <f ca="1">INDEX(budgetCoB[],MATCH("Subtotal " &amp; budgetProjectPlan[[#This Row],[Category]],budgetCoB[Category],0),MATCH(budgetProjectPlan[[#Headers],[Milestone 1]],budgetCoB[#Headers],0))</f>
        <v>0</v>
      </c>
      <c r="C52" s="60">
        <f ca="1">INDEX(budgetCoB[],MATCH("Subtotal " &amp; budgetProjectPlan[[#This Row],[Category]],budgetCoB[Category],0),MATCH(budgetProjectPlan[[#Headers],[Milestone 2]],budgetCoB[#Headers],0))</f>
        <v>0</v>
      </c>
      <c r="D52" s="60">
        <f ca="1">INDEX(budgetCoB[],MATCH("Subtotal " &amp; budgetProjectPlan[[#This Row],[Category]],budgetCoB[Category],0),MATCH(budgetProjectPlan[[#Headers],[Milestone 3]],budgetCoB[#Headers],0))</f>
        <v>0</v>
      </c>
      <c r="E52" s="60">
        <f ca="1">INDEX(budgetCoB[],MATCH("Subtotal " &amp; budgetProjectPlan[[#This Row],[Category]],budgetCoB[Category],0),MATCH(budgetProjectPlan[[#Headers],[Milestone 4]],budgetCoB[#Headers],0))</f>
        <v>0</v>
      </c>
      <c r="F52" s="60">
        <f ca="1">INDEX(budgetCoB[],MATCH("Subtotal " &amp; budgetProjectPlan[[#This Row],[Category]],budgetCoB[Category],0),MATCH(budgetProjectPlan[[#Headers],[Final]],budgetCoB[#Headers],0))</f>
        <v>0</v>
      </c>
      <c r="G52" s="60">
        <f ca="1">SUM(budgetProjectPlan[[#This Row],[Milestone 1]:[Final]])</f>
        <v>0</v>
      </c>
      <c r="H52" s="60">
        <f>ROW()-ROW(budgetProjectPlan[#Headers])</f>
        <v>35</v>
      </c>
      <c r="I52" s="60">
        <f>IF(budgetProjectPlan[row] &lt;= numCategories +3, budgetProjectPlan[row]-1, MOD(budgetProjectPlan[row]-1,numCategories+3) + IF(MOD(budgetProjectPlan[row]-2,numCategories+2)&gt;numCategories+1, 1,0))</f>
        <v>1</v>
      </c>
      <c r="J52" s="60">
        <f>IFERROR(INDEX(directors[Last],MAX(1,FLOOR((budgetProjectPlan[row]-1)/(numCategories+3)+1,1))),1)</f>
        <v>0</v>
      </c>
      <c r="L52"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Equipment</v>
      </c>
      <c r="M52" s="85">
        <f ca="1">budgetProjectPlan[[#This Row],[Milestone 1]]</f>
        <v>0</v>
      </c>
      <c r="N52" s="85">
        <f ca="1">budgetProjectPlan[[#This Row],[Milestone 2]]</f>
        <v>0</v>
      </c>
      <c r="O52" s="85">
        <f ca="1">budgetProjectPlan[[#This Row],[Milestone 3]]</f>
        <v>0</v>
      </c>
      <c r="P52" s="85">
        <f ca="1">budgetProjectPlan[[#This Row],[Milestone 4]]</f>
        <v>0</v>
      </c>
      <c r="Q52" s="85">
        <f ca="1">budgetProjectPlan[[#This Row],[Final]]</f>
        <v>0</v>
      </c>
      <c r="R52" s="60">
        <f ca="1">SUM(budgetSummary[[#This Row],[Milestone 1]:[Final]])</f>
        <v>0</v>
      </c>
      <c r="S52" s="60">
        <f>ROW()-ROW(budgetSummary[#Headers])</f>
        <v>35</v>
      </c>
      <c r="T52" s="60">
        <f>IF(budgetSummary[row] &lt;= numCategories +3, budgetSummary[row]-1, MOD(budgetSummary[row]-1,numCategories+3) + IF(MOD(budgetSummary[row]-2,numCategories+2)&gt;numCategories+1, 1,0))</f>
        <v>1</v>
      </c>
      <c r="U52" s="60">
        <f>IFERROR(INDEX(directors[Last],MAX(1,FLOOR((budgetSummary[row]-1)/(numCategories+3)+1,1))),1)</f>
        <v>0</v>
      </c>
    </row>
    <row r="53" spans="1:21" ht="15" customHeight="1" x14ac:dyDescent="0.25">
      <c r="A53"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Training</v>
      </c>
      <c r="B53" s="60">
        <f ca="1">INDEX(budgetCoB[],MATCH("Subtotal " &amp; budgetProjectPlan[[#This Row],[Category]],budgetCoB[Category],0),MATCH(budgetProjectPlan[[#Headers],[Milestone 1]],budgetCoB[#Headers],0))</f>
        <v>0</v>
      </c>
      <c r="C53" s="60">
        <f ca="1">INDEX(budgetCoB[],MATCH("Subtotal " &amp; budgetProjectPlan[[#This Row],[Category]],budgetCoB[Category],0),MATCH(budgetProjectPlan[[#Headers],[Milestone 2]],budgetCoB[#Headers],0))</f>
        <v>0</v>
      </c>
      <c r="D53" s="60">
        <f ca="1">INDEX(budgetCoB[],MATCH("Subtotal " &amp; budgetProjectPlan[[#This Row],[Category]],budgetCoB[Category],0),MATCH(budgetProjectPlan[[#Headers],[Milestone 3]],budgetCoB[#Headers],0))</f>
        <v>0</v>
      </c>
      <c r="E53" s="60">
        <f ca="1">INDEX(budgetCoB[],MATCH("Subtotal " &amp; budgetProjectPlan[[#This Row],[Category]],budgetCoB[Category],0),MATCH(budgetProjectPlan[[#Headers],[Milestone 4]],budgetCoB[#Headers],0))</f>
        <v>0</v>
      </c>
      <c r="F53" s="60">
        <f ca="1">INDEX(budgetCoB[],MATCH("Subtotal " &amp; budgetProjectPlan[[#This Row],[Category]],budgetCoB[Category],0),MATCH(budgetProjectPlan[[#Headers],[Final]],budgetCoB[#Headers],0))</f>
        <v>0</v>
      </c>
      <c r="G53" s="60">
        <f ca="1">SUM(budgetProjectPlan[[#This Row],[Milestone 1]:[Final]])</f>
        <v>0</v>
      </c>
      <c r="H53" s="60">
        <f>ROW()-ROW(budgetProjectPlan[#Headers])</f>
        <v>36</v>
      </c>
      <c r="I53" s="60">
        <f>IF(budgetProjectPlan[row] &lt;= numCategories +3, budgetProjectPlan[row]-1, MOD(budgetProjectPlan[row]-1,numCategories+3) + IF(MOD(budgetProjectPlan[row]-2,numCategories+2)&gt;numCategories+1, 1,0))</f>
        <v>2</v>
      </c>
      <c r="J53" s="60">
        <f>IFERROR(INDEX(directors[Last],MAX(1,FLOOR((budgetProjectPlan[row]-1)/(numCategories+3)+1,1))),1)</f>
        <v>0</v>
      </c>
      <c r="L53"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Training</v>
      </c>
      <c r="M53" s="85">
        <f ca="1">budgetProjectPlan[[#This Row],[Milestone 1]]</f>
        <v>0</v>
      </c>
      <c r="N53" s="85">
        <f ca="1">budgetProjectPlan[[#This Row],[Milestone 2]]</f>
        <v>0</v>
      </c>
      <c r="O53" s="85">
        <f ca="1">budgetProjectPlan[[#This Row],[Milestone 3]]</f>
        <v>0</v>
      </c>
      <c r="P53" s="85">
        <f ca="1">budgetProjectPlan[[#This Row],[Milestone 4]]</f>
        <v>0</v>
      </c>
      <c r="Q53" s="85">
        <f ca="1">budgetProjectPlan[[#This Row],[Final]]</f>
        <v>0</v>
      </c>
      <c r="R53" s="60">
        <f ca="1">SUM(budgetSummary[[#This Row],[Milestone 1]:[Final]])</f>
        <v>0</v>
      </c>
      <c r="S53" s="60">
        <f>ROW()-ROW(budgetSummary[#Headers])</f>
        <v>36</v>
      </c>
      <c r="T53" s="60">
        <f>IF(budgetSummary[row] &lt;= numCategories +3, budgetSummary[row]-1, MOD(budgetSummary[row]-1,numCategories+3) + IF(MOD(budgetSummary[row]-2,numCategories+2)&gt;numCategories+1, 1,0))</f>
        <v>2</v>
      </c>
      <c r="U53" s="60">
        <f>IFERROR(INDEX(directors[Last],MAX(1,FLOOR((budgetSummary[row]-1)/(numCategories+3)+1,1))),1)</f>
        <v>0</v>
      </c>
    </row>
    <row r="54" spans="1:21" ht="15" customHeight="1" x14ac:dyDescent="0.25">
      <c r="A54"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Communication &amp; Publication</v>
      </c>
      <c r="B54" s="60">
        <f ca="1">INDEX(budgetCoB[],MATCH("Subtotal " &amp; budgetProjectPlan[[#This Row],[Category]],budgetCoB[Category],0),MATCH(budgetProjectPlan[[#Headers],[Milestone 1]],budgetCoB[#Headers],0))</f>
        <v>0</v>
      </c>
      <c r="C54" s="60">
        <f ca="1">INDEX(budgetCoB[],MATCH("Subtotal " &amp; budgetProjectPlan[[#This Row],[Category]],budgetCoB[Category],0),MATCH(budgetProjectPlan[[#Headers],[Milestone 2]],budgetCoB[#Headers],0))</f>
        <v>0</v>
      </c>
      <c r="D54" s="60">
        <f ca="1">INDEX(budgetCoB[],MATCH("Subtotal " &amp; budgetProjectPlan[[#This Row],[Category]],budgetCoB[Category],0),MATCH(budgetProjectPlan[[#Headers],[Milestone 3]],budgetCoB[#Headers],0))</f>
        <v>0</v>
      </c>
      <c r="E54" s="60">
        <f ca="1">INDEX(budgetCoB[],MATCH("Subtotal " &amp; budgetProjectPlan[[#This Row],[Category]],budgetCoB[Category],0),MATCH(budgetProjectPlan[[#Headers],[Milestone 4]],budgetCoB[#Headers],0))</f>
        <v>0</v>
      </c>
      <c r="F54" s="60">
        <f ca="1">INDEX(budgetCoB[],MATCH("Subtotal " &amp; budgetProjectPlan[[#This Row],[Category]],budgetCoB[Category],0),MATCH(budgetProjectPlan[[#Headers],[Final]],budgetCoB[#Headers],0))</f>
        <v>0</v>
      </c>
      <c r="G54" s="60">
        <f ca="1">SUM(budgetProjectPlan[[#This Row],[Milestone 1]:[Final]])</f>
        <v>0</v>
      </c>
      <c r="H54" s="60">
        <f>ROW()-ROW(budgetProjectPlan[#Headers])</f>
        <v>37</v>
      </c>
      <c r="I54" s="60">
        <f>IF(budgetProjectPlan[row] &lt;= numCategories +3, budgetProjectPlan[row]-1, MOD(budgetProjectPlan[row]-1,numCategories+3) + IF(MOD(budgetProjectPlan[row]-2,numCategories+2)&gt;numCategories+1, 1,0))</f>
        <v>3</v>
      </c>
      <c r="J54" s="60">
        <f>IFERROR(INDEX(directors[Last],MAX(1,FLOOR((budgetProjectPlan[row]-1)/(numCategories+3)+1,1))),1)</f>
        <v>0</v>
      </c>
      <c r="L54"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Communication &amp; Publication</v>
      </c>
      <c r="M54" s="85">
        <f ca="1">budgetProjectPlan[[#This Row],[Milestone 1]]</f>
        <v>0</v>
      </c>
      <c r="N54" s="85">
        <f ca="1">budgetProjectPlan[[#This Row],[Milestone 2]]</f>
        <v>0</v>
      </c>
      <c r="O54" s="85">
        <f ca="1">budgetProjectPlan[[#This Row],[Milestone 3]]</f>
        <v>0</v>
      </c>
      <c r="P54" s="85">
        <f ca="1">budgetProjectPlan[[#This Row],[Milestone 4]]</f>
        <v>0</v>
      </c>
      <c r="Q54" s="85">
        <f ca="1">budgetProjectPlan[[#This Row],[Final]]</f>
        <v>0</v>
      </c>
      <c r="R54" s="60">
        <f ca="1">SUM(budgetSummary[[#This Row],[Milestone 1]:[Final]])</f>
        <v>0</v>
      </c>
      <c r="S54" s="60">
        <f>ROW()-ROW(budgetSummary[#Headers])</f>
        <v>37</v>
      </c>
      <c r="T54" s="60">
        <f>IF(budgetSummary[row] &lt;= numCategories +3, budgetSummary[row]-1, MOD(budgetSummary[row]-1,numCategories+3) + IF(MOD(budgetSummary[row]-2,numCategories+2)&gt;numCategories+1, 1,0))</f>
        <v>3</v>
      </c>
      <c r="U54" s="60">
        <f>IFERROR(INDEX(directors[Last],MAX(1,FLOOR((budgetSummary[row]-1)/(numCategories+3)+1,1))),1)</f>
        <v>0</v>
      </c>
    </row>
    <row r="55" spans="1:21" ht="15" customHeight="1" x14ac:dyDescent="0.25">
      <c r="A55"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Travel</v>
      </c>
      <c r="B55" s="60">
        <f ca="1">INDEX(budgetCoB[],MATCH("Subtotal " &amp; budgetProjectPlan[[#This Row],[Category]],budgetCoB[Category],0),MATCH(budgetProjectPlan[[#Headers],[Milestone 1]],budgetCoB[#Headers],0))</f>
        <v>0</v>
      </c>
      <c r="C55" s="60">
        <f ca="1">INDEX(budgetCoB[],MATCH("Subtotal " &amp; budgetProjectPlan[[#This Row],[Category]],budgetCoB[Category],0),MATCH(budgetProjectPlan[[#Headers],[Milestone 2]],budgetCoB[#Headers],0))</f>
        <v>0</v>
      </c>
      <c r="D55" s="60">
        <f ca="1">INDEX(budgetCoB[],MATCH("Subtotal " &amp; budgetProjectPlan[[#This Row],[Category]],budgetCoB[Category],0),MATCH(budgetProjectPlan[[#Headers],[Milestone 3]],budgetCoB[#Headers],0))</f>
        <v>0</v>
      </c>
      <c r="E55" s="60">
        <f ca="1">INDEX(budgetCoB[],MATCH("Subtotal " &amp; budgetProjectPlan[[#This Row],[Category]],budgetCoB[Category],0),MATCH(budgetProjectPlan[[#Headers],[Milestone 4]],budgetCoB[#Headers],0))</f>
        <v>0</v>
      </c>
      <c r="F55" s="60">
        <f ca="1">INDEX(budgetCoB[],MATCH("Subtotal " &amp; budgetProjectPlan[[#This Row],[Category]],budgetCoB[Category],0),MATCH(budgetProjectPlan[[#Headers],[Final]],budgetCoB[#Headers],0))</f>
        <v>0</v>
      </c>
      <c r="G55" s="60">
        <f ca="1">SUM(budgetProjectPlan[[#This Row],[Milestone 1]:[Final]])</f>
        <v>0</v>
      </c>
      <c r="H55" s="61">
        <f>ROW()-ROW(budgetProjectPlan[#Headers])</f>
        <v>38</v>
      </c>
      <c r="I55" s="61">
        <f>IF(budgetProjectPlan[row] &lt;= numCategories +3, budgetProjectPlan[row]-1, MOD(budgetProjectPlan[row]-1,numCategories+3) + IF(MOD(budgetProjectPlan[row]-2,numCategories+2)&gt;numCategories+1, 1,0))</f>
        <v>4</v>
      </c>
      <c r="J55" s="60">
        <f>IFERROR(INDEX(directors[Last],MAX(1,FLOOR((budgetProjectPlan[row]-1)/(numCategories+3)+1,1))),1)</f>
        <v>0</v>
      </c>
      <c r="L55"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Travel</v>
      </c>
      <c r="M55" s="85">
        <f ca="1">budgetProjectPlan[[#This Row],[Milestone 1]]</f>
        <v>0</v>
      </c>
      <c r="N55" s="85">
        <f ca="1">budgetProjectPlan[[#This Row],[Milestone 2]]</f>
        <v>0</v>
      </c>
      <c r="O55" s="85">
        <f ca="1">budgetProjectPlan[[#This Row],[Milestone 3]]</f>
        <v>0</v>
      </c>
      <c r="P55" s="85">
        <f ca="1">budgetProjectPlan[[#This Row],[Milestone 4]]</f>
        <v>0</v>
      </c>
      <c r="Q55" s="85">
        <f ca="1">budgetProjectPlan[[#This Row],[Final]]</f>
        <v>0</v>
      </c>
      <c r="R55" s="60">
        <f ca="1">SUM(budgetSummary[[#This Row],[Milestone 1]:[Final]])</f>
        <v>0</v>
      </c>
      <c r="S55" s="61">
        <f>ROW()-ROW(budgetSummary[#Headers])</f>
        <v>38</v>
      </c>
      <c r="T55" s="60">
        <f>IF(budgetSummary[row] &lt;= numCategories +3, budgetSummary[row]-1, MOD(budgetSummary[row]-1,numCategories+3) + IF(MOD(budgetSummary[row]-2,numCategories+2)&gt;numCategories+1, 1,0))</f>
        <v>4</v>
      </c>
      <c r="U55" s="61">
        <f>IFERROR(INDEX(directors[Last],MAX(1,FLOOR((budgetSummary[row]-1)/(numCategories+3)+1,1))),1)</f>
        <v>0</v>
      </c>
    </row>
    <row r="56" spans="1:21" ht="15" customHeight="1" x14ac:dyDescent="0.25">
      <c r="A56"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Consumables</v>
      </c>
      <c r="B56" s="60">
        <f ca="1">INDEX(budgetCoB[],MATCH("Subtotal " &amp; budgetProjectPlan[[#This Row],[Category]],budgetCoB[Category],0),MATCH(budgetProjectPlan[[#Headers],[Milestone 1]],budgetCoB[#Headers],0))</f>
        <v>0</v>
      </c>
      <c r="C56" s="60">
        <f ca="1">INDEX(budgetCoB[],MATCH("Subtotal " &amp; budgetProjectPlan[[#This Row],[Category]],budgetCoB[Category],0),MATCH(budgetProjectPlan[[#Headers],[Milestone 2]],budgetCoB[#Headers],0))</f>
        <v>0</v>
      </c>
      <c r="D56" s="60">
        <f ca="1">INDEX(budgetCoB[],MATCH("Subtotal " &amp; budgetProjectPlan[[#This Row],[Category]],budgetCoB[Category],0),MATCH(budgetProjectPlan[[#Headers],[Milestone 3]],budgetCoB[#Headers],0))</f>
        <v>0</v>
      </c>
      <c r="E56" s="60">
        <f ca="1">INDEX(budgetCoB[],MATCH("Subtotal " &amp; budgetProjectPlan[[#This Row],[Category]],budgetCoB[Category],0),MATCH(budgetProjectPlan[[#Headers],[Milestone 4]],budgetCoB[#Headers],0))</f>
        <v>0</v>
      </c>
      <c r="F56" s="60">
        <f ca="1">INDEX(budgetCoB[],MATCH("Subtotal " &amp; budgetProjectPlan[[#This Row],[Category]],budgetCoB[Category],0),MATCH(budgetProjectPlan[[#Headers],[Final]],budgetCoB[#Headers],0))</f>
        <v>0</v>
      </c>
      <c r="G56" s="60">
        <f ca="1">SUM(budgetProjectPlan[[#This Row],[Milestone 1]:[Final]])</f>
        <v>0</v>
      </c>
      <c r="H56" s="60">
        <f>ROW()-ROW(budgetProjectPlan[#Headers])</f>
        <v>39</v>
      </c>
      <c r="I56" s="60">
        <f>IF(budgetProjectPlan[row] &lt;= numCategories +3, budgetProjectPlan[row]-1, MOD(budgetProjectPlan[row]-1,numCategories+3) + IF(MOD(budgetProjectPlan[row]-2,numCategories+2)&gt;numCategories+1, 1,0))</f>
        <v>5</v>
      </c>
      <c r="J56" s="60">
        <f>IFERROR(INDEX(directors[Last],MAX(1,FLOOR((budgetProjectPlan[row]-1)/(numCategories+3)+1,1))),1)</f>
        <v>0</v>
      </c>
      <c r="L56"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Consumables</v>
      </c>
      <c r="M56" s="85">
        <f ca="1">budgetProjectPlan[[#This Row],[Milestone 1]]</f>
        <v>0</v>
      </c>
      <c r="N56" s="85">
        <f ca="1">budgetProjectPlan[[#This Row],[Milestone 2]]</f>
        <v>0</v>
      </c>
      <c r="O56" s="85">
        <f ca="1">budgetProjectPlan[[#This Row],[Milestone 3]]</f>
        <v>0</v>
      </c>
      <c r="P56" s="85">
        <f ca="1">budgetProjectPlan[[#This Row],[Milestone 4]]</f>
        <v>0</v>
      </c>
      <c r="Q56" s="85">
        <f ca="1">budgetProjectPlan[[#This Row],[Final]]</f>
        <v>0</v>
      </c>
      <c r="R56" s="60">
        <f ca="1">SUM(budgetSummary[[#This Row],[Milestone 1]:[Final]])</f>
        <v>0</v>
      </c>
      <c r="S56" s="60">
        <f>ROW()-ROW(budgetSummary[#Headers])</f>
        <v>39</v>
      </c>
      <c r="T56" s="60">
        <f>IF(budgetSummary[row] &lt;= numCategories +3, budgetSummary[row]-1, MOD(budgetSummary[row]-1,numCategories+3) + IF(MOD(budgetSummary[row]-2,numCategories+2)&gt;numCategories+1, 1,0))</f>
        <v>5</v>
      </c>
      <c r="U56" s="60">
        <f>IFERROR(INDEX(directors[Last],MAX(1,FLOOR((budgetSummary[row]-1)/(numCategories+3)+1,1))),1)</f>
        <v>0</v>
      </c>
    </row>
    <row r="57" spans="1:21" ht="15" customHeight="1" x14ac:dyDescent="0.25">
      <c r="A57"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Other</v>
      </c>
      <c r="B57" s="60">
        <f ca="1">INDEX(budgetCoB[],MATCH("Subtotal " &amp; budgetProjectPlan[[#This Row],[Category]],budgetCoB[Category],0),MATCH(budgetProjectPlan[[#Headers],[Milestone 1]],budgetCoB[#Headers],0))</f>
        <v>0</v>
      </c>
      <c r="C57" s="60">
        <f ca="1">INDEX(budgetCoB[],MATCH("Subtotal " &amp; budgetProjectPlan[[#This Row],[Category]],budgetCoB[Category],0),MATCH(budgetProjectPlan[[#Headers],[Milestone 2]],budgetCoB[#Headers],0))</f>
        <v>0</v>
      </c>
      <c r="D57" s="60">
        <f ca="1">INDEX(budgetCoB[],MATCH("Subtotal " &amp; budgetProjectPlan[[#This Row],[Category]],budgetCoB[Category],0),MATCH(budgetProjectPlan[[#Headers],[Milestone 3]],budgetCoB[#Headers],0))</f>
        <v>0</v>
      </c>
      <c r="E57" s="60">
        <f ca="1">INDEX(budgetCoB[],MATCH("Subtotal " &amp; budgetProjectPlan[[#This Row],[Category]],budgetCoB[Category],0),MATCH(budgetProjectPlan[[#Headers],[Milestone 4]],budgetCoB[#Headers],0))</f>
        <v>0</v>
      </c>
      <c r="F57" s="60">
        <f ca="1">INDEX(budgetCoB[],MATCH("Subtotal " &amp; budgetProjectPlan[[#This Row],[Category]],budgetCoB[Category],0),MATCH(budgetProjectPlan[[#Headers],[Final]],budgetCoB[#Headers],0))</f>
        <v>0</v>
      </c>
      <c r="G57" s="60">
        <f ca="1">SUM(budgetProjectPlan[[#This Row],[Milestone 1]:[Final]])</f>
        <v>0</v>
      </c>
      <c r="H57" s="60">
        <f>ROW()-ROW(budgetProjectPlan[#Headers])</f>
        <v>40</v>
      </c>
      <c r="I57" s="60">
        <f>IF(budgetProjectPlan[row] &lt;= numCategories +3, budgetProjectPlan[row]-1, MOD(budgetProjectPlan[row]-1,numCategories+3) + IF(MOD(budgetProjectPlan[row]-2,numCategories+2)&gt;numCategories+1, 1,0))</f>
        <v>6</v>
      </c>
      <c r="J57" s="60">
        <f>IFERROR(INDEX(directors[Last],MAX(1,FLOOR((budgetProjectPlan[row]-1)/(numCategories+3)+1,1))),1)</f>
        <v>0</v>
      </c>
      <c r="L57"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Other</v>
      </c>
      <c r="M57" s="85">
        <f ca="1">budgetProjectPlan[[#This Row],[Milestone 1]]</f>
        <v>0</v>
      </c>
      <c r="N57" s="85">
        <f ca="1">budgetProjectPlan[[#This Row],[Milestone 2]]</f>
        <v>0</v>
      </c>
      <c r="O57" s="85">
        <f ca="1">budgetProjectPlan[[#This Row],[Milestone 3]]</f>
        <v>0</v>
      </c>
      <c r="P57" s="85">
        <f ca="1">budgetProjectPlan[[#This Row],[Milestone 4]]</f>
        <v>0</v>
      </c>
      <c r="Q57" s="85">
        <f ca="1">budgetProjectPlan[[#This Row],[Final]]</f>
        <v>0</v>
      </c>
      <c r="R57" s="60">
        <f ca="1">SUM(budgetSummary[[#This Row],[Milestone 1]:[Final]])</f>
        <v>0</v>
      </c>
      <c r="S57" s="60">
        <f>ROW()-ROW(budgetSummary[#Headers])</f>
        <v>40</v>
      </c>
      <c r="T57" s="60">
        <f>IF(budgetSummary[row] &lt;= numCategories +3, budgetSummary[row]-1, MOD(budgetSummary[row]-1,numCategories+3) + IF(MOD(budgetSummary[row]-2,numCategories+2)&gt;numCategories+1, 1,0))</f>
        <v>6</v>
      </c>
      <c r="U57" s="60">
        <f>IFERROR(INDEX(directors[Last],MAX(1,FLOOR((budgetSummary[row]-1)/(numCategories+3)+1,1))),1)</f>
        <v>0</v>
      </c>
    </row>
    <row r="58" spans="1:21" ht="15" customHeight="1" x14ac:dyDescent="0.25">
      <c r="A58"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Stipends</v>
      </c>
      <c r="B58" s="60">
        <f ca="1">INDEX(budgetCoB[],MATCH("Subtotal " &amp; budgetProjectPlan[[#This Row],[Category]],budgetCoB[Category],0),MATCH(budgetProjectPlan[[#Headers],[Milestone 1]],budgetCoB[#Headers],0))</f>
        <v>0</v>
      </c>
      <c r="C58" s="60">
        <f ca="1">INDEX(budgetCoB[],MATCH("Subtotal " &amp; budgetProjectPlan[[#This Row],[Category]],budgetCoB[Category],0),MATCH(budgetProjectPlan[[#Headers],[Milestone 2]],budgetCoB[#Headers],0))</f>
        <v>0</v>
      </c>
      <c r="D58" s="60">
        <f ca="1">INDEX(budgetCoB[],MATCH("Subtotal " &amp; budgetProjectPlan[[#This Row],[Category]],budgetCoB[Category],0),MATCH(budgetProjectPlan[[#Headers],[Milestone 3]],budgetCoB[#Headers],0))</f>
        <v>0</v>
      </c>
      <c r="E58" s="60">
        <f ca="1">INDEX(budgetCoB[],MATCH("Subtotal " &amp; budgetProjectPlan[[#This Row],[Category]],budgetCoB[Category],0),MATCH(budgetProjectPlan[[#Headers],[Milestone 4]],budgetCoB[#Headers],0))</f>
        <v>0</v>
      </c>
      <c r="F58" s="60">
        <f ca="1">INDEX(budgetCoB[],MATCH("Subtotal " &amp; budgetProjectPlan[[#This Row],[Category]],budgetCoB[Category],0),MATCH(budgetProjectPlan[[#Headers],[Final]],budgetCoB[#Headers],0))</f>
        <v>0</v>
      </c>
      <c r="G58" s="60">
        <f ca="1">SUM(budgetProjectPlan[[#This Row],[Milestone 1]:[Final]])</f>
        <v>0</v>
      </c>
      <c r="H58" s="60">
        <f>ROW()-ROW(budgetProjectPlan[#Headers])</f>
        <v>41</v>
      </c>
      <c r="I58" s="60">
        <f>IF(budgetProjectPlan[row] &lt;= numCategories +3, budgetProjectPlan[row]-1, MOD(budgetProjectPlan[row]-1,numCategories+3) + IF(MOD(budgetProjectPlan[row]-2,numCategories+2)&gt;numCategories+1, 1,0))</f>
        <v>7</v>
      </c>
      <c r="J58" s="60">
        <f>IFERROR(INDEX(directors[Last],MAX(1,FLOOR((budgetProjectPlan[row]-1)/(numCategories+3)+1,1))),1)</f>
        <v>0</v>
      </c>
      <c r="L58"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Stipends</v>
      </c>
      <c r="M58" s="85">
        <f ca="1">budgetProjectPlan[[#This Row],[Milestone 1]]</f>
        <v>0</v>
      </c>
      <c r="N58" s="85">
        <f ca="1">budgetProjectPlan[[#This Row],[Milestone 2]]</f>
        <v>0</v>
      </c>
      <c r="O58" s="85">
        <f ca="1">budgetProjectPlan[[#This Row],[Milestone 3]]</f>
        <v>0</v>
      </c>
      <c r="P58" s="85">
        <f ca="1">budgetProjectPlan[[#This Row],[Milestone 4]]</f>
        <v>0</v>
      </c>
      <c r="Q58" s="85">
        <f ca="1">budgetProjectPlan[[#This Row],[Final]]</f>
        <v>0</v>
      </c>
      <c r="R58" s="60">
        <f ca="1">SUM(budgetSummary[[#This Row],[Milestone 1]:[Final]])</f>
        <v>0</v>
      </c>
      <c r="S58" s="60">
        <f>ROW()-ROW(budgetSummary[#Headers])</f>
        <v>41</v>
      </c>
      <c r="T58" s="60">
        <f>IF(budgetSummary[row] &lt;= numCategories +3, budgetSummary[row]-1, MOD(budgetSummary[row]-1,numCategories+3) + IF(MOD(budgetSummary[row]-2,numCategories+2)&gt;numCategories+1, 1,0))</f>
        <v>7</v>
      </c>
      <c r="U58" s="60">
        <f>IFERROR(INDEX(directors[Last],MAX(1,FLOOR((budgetSummary[row]-1)/(numCategories+3)+1,1))),1)</f>
        <v>0</v>
      </c>
    </row>
    <row r="59" spans="1:21" ht="15" customHeight="1" x14ac:dyDescent="0.25">
      <c r="A59"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Co-financing of personnel</v>
      </c>
      <c r="B59" s="60">
        <f ca="1">INDEX(budgetCoB[],MATCH("Subtotal " &amp; budgetProjectPlan[[#This Row],[Category]],budgetCoB[Category],0),MATCH(budgetProjectPlan[[#Headers],[Milestone 1]],budgetCoB[#Headers],0))</f>
        <v>0</v>
      </c>
      <c r="C59" s="60">
        <f ca="1">INDEX(budgetCoB[],MATCH("Subtotal " &amp; budgetProjectPlan[[#This Row],[Category]],budgetCoB[Category],0),MATCH(budgetProjectPlan[[#Headers],[Milestone 2]],budgetCoB[#Headers],0))</f>
        <v>0</v>
      </c>
      <c r="D59" s="60">
        <f ca="1">INDEX(budgetCoB[],MATCH("Subtotal " &amp; budgetProjectPlan[[#This Row],[Category]],budgetCoB[Category],0),MATCH(budgetProjectPlan[[#Headers],[Milestone 3]],budgetCoB[#Headers],0))</f>
        <v>0</v>
      </c>
      <c r="E59" s="60">
        <f ca="1">INDEX(budgetCoB[],MATCH("Subtotal " &amp; budgetProjectPlan[[#This Row],[Category]],budgetCoB[Category],0),MATCH(budgetProjectPlan[[#Headers],[Milestone 4]],budgetCoB[#Headers],0))</f>
        <v>0</v>
      </c>
      <c r="F59" s="60">
        <f ca="1">INDEX(budgetCoB[],MATCH("Subtotal " &amp; budgetProjectPlan[[#This Row],[Category]],budgetCoB[Category],0),MATCH(budgetProjectPlan[[#Headers],[Final]],budgetCoB[#Headers],0))</f>
        <v>0</v>
      </c>
      <c r="G59" s="60">
        <f ca="1">SUM(budgetProjectPlan[[#This Row],[Milestone 1]:[Final]])</f>
        <v>0</v>
      </c>
      <c r="H59" s="60">
        <f>ROW()-ROW(budgetProjectPlan[#Headers])</f>
        <v>42</v>
      </c>
      <c r="I59" s="60">
        <f>IF(budgetProjectPlan[row] &lt;= numCategories +3, budgetProjectPlan[row]-1, MOD(budgetProjectPlan[row]-1,numCategories+3) + IF(MOD(budgetProjectPlan[row]-2,numCategories+2)&gt;numCategories+1, 1,0))</f>
        <v>8</v>
      </c>
      <c r="J59" s="60">
        <f>IFERROR(INDEX(directors[Last],MAX(1,FLOOR((budgetProjectPlan[row]-1)/(numCategories+3)+1,1))),1)</f>
        <v>0</v>
      </c>
      <c r="L59"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Co-financing of personnel</v>
      </c>
      <c r="M59" s="85">
        <f ca="1">budgetProjectPlan[[#This Row],[Milestone 1]]</f>
        <v>0</v>
      </c>
      <c r="N59" s="85">
        <f ca="1">budgetProjectPlan[[#This Row],[Milestone 2]]</f>
        <v>0</v>
      </c>
      <c r="O59" s="85">
        <f ca="1">budgetProjectPlan[[#This Row],[Milestone 3]]</f>
        <v>0</v>
      </c>
      <c r="P59" s="85">
        <f ca="1">budgetProjectPlan[[#This Row],[Milestone 4]]</f>
        <v>0</v>
      </c>
      <c r="Q59" s="85">
        <f ca="1">budgetProjectPlan[[#This Row],[Final]]</f>
        <v>0</v>
      </c>
      <c r="R59" s="60">
        <f ca="1">SUM(budgetSummary[[#This Row],[Milestone 1]:[Final]])</f>
        <v>0</v>
      </c>
      <c r="S59" s="60">
        <f>ROW()-ROW(budgetSummary[#Headers])</f>
        <v>42</v>
      </c>
      <c r="T59" s="60">
        <f>IF(budgetSummary[row] &lt;= numCategories +3, budgetSummary[row]-1, MOD(budgetSummary[row]-1,numCategories+3) + IF(MOD(budgetSummary[row]-2,numCategories+2)&gt;numCategories+1, 1,0))</f>
        <v>8</v>
      </c>
      <c r="U59" s="60">
        <f>IFERROR(INDEX(directors[Last],MAX(1,FLOOR((budgetSummary[row]-1)/(numCategories+3)+1,1))),1)</f>
        <v>0</v>
      </c>
    </row>
    <row r="60" spans="1:21" ht="15" customHeight="1" x14ac:dyDescent="0.25">
      <c r="A60"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Subtotal 0</v>
      </c>
      <c r="B60" s="60">
        <f ca="1">SUBTOTAL(9,B52:B59)</f>
        <v>0</v>
      </c>
      <c r="C60" s="60">
        <f t="shared" ref="C60:G60" ca="1" si="6">SUBTOTAL(9,C52:C59)</f>
        <v>0</v>
      </c>
      <c r="D60" s="60">
        <f t="shared" ca="1" si="6"/>
        <v>0</v>
      </c>
      <c r="E60" s="60">
        <f t="shared" ca="1" si="6"/>
        <v>0</v>
      </c>
      <c r="F60" s="60">
        <f t="shared" ca="1" si="6"/>
        <v>0</v>
      </c>
      <c r="G60" s="60">
        <f t="shared" ca="1" si="6"/>
        <v>0</v>
      </c>
      <c r="H60" s="60">
        <f>ROW()-ROW(budgetProjectPlan[#Headers])</f>
        <v>43</v>
      </c>
      <c r="I60" s="60">
        <f>IF(budgetProjectPlan[row] &lt;= numCategories +3, budgetProjectPlan[row]-1, MOD(budgetProjectPlan[row]-1,numCategories+3) + IF(MOD(budgetProjectPlan[row]-2,numCategories+2)&gt;numCategories+1, 1,0))</f>
        <v>9</v>
      </c>
      <c r="J60" s="60">
        <f>IFERROR(INDEX(directors[Last],MAX(1,FLOOR((budgetProjectPlan[row]-1)/(numCategories+3)+1,1))),1)</f>
        <v>0</v>
      </c>
      <c r="L60"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Subtotal 0</v>
      </c>
      <c r="M60" s="85">
        <f ca="1">SUBTOTAL(9,M52:M59)</f>
        <v>0</v>
      </c>
      <c r="N60" s="85">
        <f t="shared" ref="N60:R60" ca="1" si="7">SUBTOTAL(9,N52:N59)</f>
        <v>0</v>
      </c>
      <c r="O60" s="85">
        <f t="shared" ca="1" si="7"/>
        <v>0</v>
      </c>
      <c r="P60" s="85">
        <f t="shared" ca="1" si="7"/>
        <v>0</v>
      </c>
      <c r="Q60" s="85">
        <f t="shared" ca="1" si="7"/>
        <v>0</v>
      </c>
      <c r="R60" s="85">
        <f t="shared" ca="1" si="7"/>
        <v>0</v>
      </c>
      <c r="S60" s="60">
        <f>ROW()-ROW(budgetSummary[#Headers])</f>
        <v>43</v>
      </c>
      <c r="T60" s="60">
        <f>IF(budgetSummary[row] &lt;= numCategories +3, budgetSummary[row]-1, MOD(budgetSummary[row]-1,numCategories+3) + IF(MOD(budgetSummary[row]-2,numCategories+2)&gt;numCategories+1, 1,0))</f>
        <v>9</v>
      </c>
      <c r="U60" s="60">
        <f>IFERROR(INDEX(directors[Last],MAX(1,FLOOR((budgetSummary[row]-1)/(numCategories+3)+1,1))),1)</f>
        <v>0</v>
      </c>
    </row>
    <row r="61" spans="1:21" ht="15" customHeight="1" x14ac:dyDescent="0.25">
      <c r="A61"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c>
      <c r="H61" s="60">
        <f>ROW()-ROW(budgetProjectPlan[#Headers])</f>
        <v>44</v>
      </c>
      <c r="I61" s="60">
        <f>IF(budgetProjectPlan[row] &lt;= numCategories +3, budgetProjectPlan[row]-1, MOD(budgetProjectPlan[row]-1,numCategories+3) + IF(MOD(budgetProjectPlan[row]-2,numCategories+2)&gt;numCategories+1, 1,0))</f>
        <v>10</v>
      </c>
      <c r="J61" s="60">
        <f>IFERROR(INDEX(directors[Last],MAX(1,FLOOR((budgetProjectPlan[row]-1)/(numCategories+3)+1,1))),1)</f>
        <v>0</v>
      </c>
      <c r="L61"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c>
      <c r="M61" s="85"/>
      <c r="N61" s="85"/>
      <c r="O61" s="85"/>
      <c r="P61" s="85"/>
      <c r="Q61" s="85"/>
      <c r="R61" s="60">
        <f>SUM(budgetSummary[[#This Row],[Milestone 1]:[Final]])</f>
        <v>0</v>
      </c>
      <c r="S61" s="60">
        <f>ROW()-ROW(budgetSummary[#Headers])</f>
        <v>44</v>
      </c>
      <c r="T61" s="60">
        <f>IF(budgetSummary[row] &lt;= numCategories +3, budgetSummary[row]-1, MOD(budgetSummary[row]-1,numCategories+3) + IF(MOD(budgetSummary[row]-2,numCategories+2)&gt;numCategories+1, 1,0))</f>
        <v>10</v>
      </c>
      <c r="U61" s="60">
        <f>IFERROR(INDEX(directors[Last],MAX(1,FLOOR((budgetSummary[row]-1)/(numCategories+3)+1,1))),1)</f>
        <v>0</v>
      </c>
    </row>
    <row r="62" spans="1:21" ht="15" customHeight="1" x14ac:dyDescent="0.25">
      <c r="A62"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xml:space="preserve">0 / </v>
      </c>
      <c r="H62" s="60">
        <f>ROW()-ROW(budgetProjectPlan[#Headers])</f>
        <v>45</v>
      </c>
      <c r="I62" s="60">
        <f>IF(budgetProjectPlan[row] &lt;= numCategories +3, budgetProjectPlan[row]-1, MOD(budgetProjectPlan[row]-1,numCategories+3) + IF(MOD(budgetProjectPlan[row]-2,numCategories+2)&gt;numCategories+1, 1,0))</f>
        <v>0</v>
      </c>
      <c r="J62" s="60">
        <f>IFERROR(INDEX(directors[Last],MAX(1,FLOOR((budgetProjectPlan[row]-1)/(numCategories+3)+1,1))),1)</f>
        <v>0</v>
      </c>
      <c r="L62"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xml:space="preserve">0 / </v>
      </c>
      <c r="M62" s="85"/>
      <c r="N62" s="85"/>
      <c r="O62" s="85"/>
      <c r="P62" s="85"/>
      <c r="Q62" s="85"/>
      <c r="S62" s="60">
        <f>ROW()-ROW(budgetSummary[#Headers])</f>
        <v>45</v>
      </c>
      <c r="T62" s="60">
        <f>IF(budgetSummary[row] &lt;= numCategories +3, budgetSummary[row]-1, MOD(budgetSummary[row]-1,numCategories+3) + IF(MOD(budgetSummary[row]-2,numCategories+2)&gt;numCategories+1, 1,0))</f>
        <v>0</v>
      </c>
      <c r="U62" s="60">
        <f>IFERROR(INDEX(directors[Last],MAX(1,FLOOR((budgetSummary[row]-1)/(numCategories+3)+1,1))),1)</f>
        <v>0</v>
      </c>
    </row>
    <row r="63" spans="1:21" ht="15" customHeight="1" x14ac:dyDescent="0.25">
      <c r="A63"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Equipment</v>
      </c>
      <c r="B63" s="60">
        <f ca="1">INDEX(budgetCoC[],MATCH("Subtotal " &amp; budgetProjectPlan[[#This Row],[Category]],budgetCoC[Category],0),MATCH(budgetProjectPlan[[#Headers],[Milestone 1]],budgetCoC[#Headers],0))</f>
        <v>0</v>
      </c>
      <c r="C63" s="60">
        <f ca="1">INDEX(budgetCoC[],MATCH("Subtotal " &amp; budgetProjectPlan[[#This Row],[Category]],budgetCoC[Category],0),MATCH(budgetProjectPlan[[#Headers],[Milestone 2]],budgetCoC[#Headers],0))</f>
        <v>0</v>
      </c>
      <c r="D63" s="60">
        <f ca="1">INDEX(budgetCoC[],MATCH("Subtotal " &amp; budgetProjectPlan[[#This Row],[Category]],budgetCoC[Category],0),MATCH(budgetProjectPlan[[#Headers],[Milestone 3]],budgetCoC[#Headers],0))</f>
        <v>0</v>
      </c>
      <c r="E63" s="60">
        <f ca="1">INDEX(budgetCoC[],MATCH("Subtotal " &amp; budgetProjectPlan[[#This Row],[Category]],budgetCoC[Category],0),MATCH(budgetProjectPlan[[#Headers],[Milestone 4]],budgetCoC[#Headers],0))</f>
        <v>0</v>
      </c>
      <c r="F63" s="60">
        <f ca="1">INDEX(budgetCoC[],MATCH("Subtotal " &amp; budgetProjectPlan[[#This Row],[Category]],budgetCoC[Category],0),MATCH(budgetProjectPlan[[#Headers],[Final]],budgetCoC[#Headers],0))</f>
        <v>0</v>
      </c>
      <c r="G63" s="60">
        <f ca="1">SUM(budgetProjectPlan[[#This Row],[Milestone 1]:[Final]])</f>
        <v>0</v>
      </c>
      <c r="H63" s="60">
        <f>ROW()-ROW(budgetProjectPlan[#Headers])</f>
        <v>46</v>
      </c>
      <c r="I63" s="60">
        <f>IF(budgetProjectPlan[row] &lt;= numCategories +3, budgetProjectPlan[row]-1, MOD(budgetProjectPlan[row]-1,numCategories+3) + IF(MOD(budgetProjectPlan[row]-2,numCategories+2)&gt;numCategories+1, 1,0))</f>
        <v>1</v>
      </c>
      <c r="J63" s="60">
        <f>IFERROR(INDEX(directors[Last],MAX(1,FLOOR((budgetProjectPlan[row]-1)/(numCategories+3)+1,1))),1)</f>
        <v>0</v>
      </c>
      <c r="L63"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Equipment</v>
      </c>
      <c r="M63" s="85">
        <f ca="1">budgetProjectPlan[[#This Row],[Milestone 1]]</f>
        <v>0</v>
      </c>
      <c r="N63" s="85">
        <f ca="1">budgetProjectPlan[[#This Row],[Milestone 2]]</f>
        <v>0</v>
      </c>
      <c r="O63" s="85">
        <f ca="1">budgetProjectPlan[[#This Row],[Milestone 3]]</f>
        <v>0</v>
      </c>
      <c r="P63" s="85">
        <f ca="1">budgetProjectPlan[[#This Row],[Milestone 4]]</f>
        <v>0</v>
      </c>
      <c r="Q63" s="85">
        <f ca="1">budgetProjectPlan[[#This Row],[Final]]</f>
        <v>0</v>
      </c>
      <c r="R63" s="60">
        <f ca="1">SUM(budgetSummary[[#This Row],[Milestone 1]:[Final]])</f>
        <v>0</v>
      </c>
      <c r="S63" s="60">
        <f>ROW()-ROW(budgetSummary[#Headers])</f>
        <v>46</v>
      </c>
      <c r="T63" s="60">
        <f>IF(budgetSummary[row] &lt;= numCategories +3, budgetSummary[row]-1, MOD(budgetSummary[row]-1,numCategories+3) + IF(MOD(budgetSummary[row]-2,numCategories+2)&gt;numCategories+1, 1,0))</f>
        <v>1</v>
      </c>
      <c r="U63" s="60">
        <f>IFERROR(INDEX(directors[Last],MAX(1,FLOOR((budgetSummary[row]-1)/(numCategories+3)+1,1))),1)</f>
        <v>0</v>
      </c>
    </row>
    <row r="64" spans="1:21" ht="15" customHeight="1" x14ac:dyDescent="0.25">
      <c r="A64"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Training</v>
      </c>
      <c r="B64" s="60">
        <f ca="1">INDEX(budgetCoC[],MATCH("Subtotal " &amp; budgetProjectPlan[[#This Row],[Category]],budgetCoC[Category],0),MATCH(budgetProjectPlan[[#Headers],[Milestone 1]],budgetCoC[#Headers],0))</f>
        <v>0</v>
      </c>
      <c r="C64" s="60">
        <f ca="1">INDEX(budgetCoC[],MATCH("Subtotal " &amp; budgetProjectPlan[[#This Row],[Category]],budgetCoC[Category],0),MATCH(budgetProjectPlan[[#Headers],[Milestone 2]],budgetCoC[#Headers],0))</f>
        <v>0</v>
      </c>
      <c r="D64" s="60">
        <f ca="1">INDEX(budgetCoC[],MATCH("Subtotal " &amp; budgetProjectPlan[[#This Row],[Category]],budgetCoC[Category],0),MATCH(budgetProjectPlan[[#Headers],[Milestone 3]],budgetCoC[#Headers],0))</f>
        <v>0</v>
      </c>
      <c r="E64" s="60">
        <f ca="1">INDEX(budgetCoC[],MATCH("Subtotal " &amp; budgetProjectPlan[[#This Row],[Category]],budgetCoC[Category],0),MATCH(budgetProjectPlan[[#Headers],[Milestone 4]],budgetCoC[#Headers],0))</f>
        <v>0</v>
      </c>
      <c r="F64" s="60">
        <f ca="1">INDEX(budgetCoC[],MATCH("Subtotal " &amp; budgetProjectPlan[[#This Row],[Category]],budgetCoC[Category],0),MATCH(budgetProjectPlan[[#Headers],[Final]],budgetCoC[#Headers],0))</f>
        <v>0</v>
      </c>
      <c r="G64" s="60">
        <f ca="1">SUM(budgetProjectPlan[[#This Row],[Milestone 1]:[Final]])</f>
        <v>0</v>
      </c>
      <c r="H64" s="60">
        <f>ROW()-ROW(budgetProjectPlan[#Headers])</f>
        <v>47</v>
      </c>
      <c r="I64" s="60">
        <f>IF(budgetProjectPlan[row] &lt;= numCategories +3, budgetProjectPlan[row]-1, MOD(budgetProjectPlan[row]-1,numCategories+3) + IF(MOD(budgetProjectPlan[row]-2,numCategories+2)&gt;numCategories+1, 1,0))</f>
        <v>2</v>
      </c>
      <c r="J64" s="60">
        <f>IFERROR(INDEX(directors[Last],MAX(1,FLOOR((budgetProjectPlan[row]-1)/(numCategories+3)+1,1))),1)</f>
        <v>0</v>
      </c>
      <c r="L64"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Training</v>
      </c>
      <c r="M64" s="85">
        <f ca="1">budgetProjectPlan[[#This Row],[Milestone 1]]</f>
        <v>0</v>
      </c>
      <c r="N64" s="85">
        <f ca="1">budgetProjectPlan[[#This Row],[Milestone 2]]</f>
        <v>0</v>
      </c>
      <c r="O64" s="85">
        <f ca="1">budgetProjectPlan[[#This Row],[Milestone 3]]</f>
        <v>0</v>
      </c>
      <c r="P64" s="85">
        <f ca="1">budgetProjectPlan[[#This Row],[Milestone 4]]</f>
        <v>0</v>
      </c>
      <c r="Q64" s="85">
        <f ca="1">budgetProjectPlan[[#This Row],[Final]]</f>
        <v>0</v>
      </c>
      <c r="R64" s="60">
        <f ca="1">SUM(budgetSummary[[#This Row],[Milestone 1]:[Final]])</f>
        <v>0</v>
      </c>
      <c r="S64" s="60">
        <f>ROW()-ROW(budgetSummary[#Headers])</f>
        <v>47</v>
      </c>
      <c r="T64" s="60">
        <f>IF(budgetSummary[row] &lt;= numCategories +3, budgetSummary[row]-1, MOD(budgetSummary[row]-1,numCategories+3) + IF(MOD(budgetSummary[row]-2,numCategories+2)&gt;numCategories+1, 1,0))</f>
        <v>2</v>
      </c>
      <c r="U64" s="60">
        <f>IFERROR(INDEX(directors[Last],MAX(1,FLOOR((budgetSummary[row]-1)/(numCategories+3)+1,1))),1)</f>
        <v>0</v>
      </c>
    </row>
    <row r="65" spans="1:21" ht="15" customHeight="1" x14ac:dyDescent="0.25">
      <c r="A65"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Communication &amp; Publication</v>
      </c>
      <c r="B65" s="60">
        <f ca="1">INDEX(budgetCoC[],MATCH("Subtotal " &amp; budgetProjectPlan[[#This Row],[Category]],budgetCoC[Category],0),MATCH(budgetProjectPlan[[#Headers],[Milestone 1]],budgetCoC[#Headers],0))</f>
        <v>0</v>
      </c>
      <c r="C65" s="60">
        <f ca="1">INDEX(budgetCoC[],MATCH("Subtotal " &amp; budgetProjectPlan[[#This Row],[Category]],budgetCoC[Category],0),MATCH(budgetProjectPlan[[#Headers],[Milestone 2]],budgetCoC[#Headers],0))</f>
        <v>0</v>
      </c>
      <c r="D65" s="60">
        <f ca="1">INDEX(budgetCoC[],MATCH("Subtotal " &amp; budgetProjectPlan[[#This Row],[Category]],budgetCoC[Category],0),MATCH(budgetProjectPlan[[#Headers],[Milestone 3]],budgetCoC[#Headers],0))</f>
        <v>0</v>
      </c>
      <c r="E65" s="60">
        <f ca="1">INDEX(budgetCoC[],MATCH("Subtotal " &amp; budgetProjectPlan[[#This Row],[Category]],budgetCoC[Category],0),MATCH(budgetProjectPlan[[#Headers],[Milestone 4]],budgetCoC[#Headers],0))</f>
        <v>0</v>
      </c>
      <c r="F65" s="60">
        <f ca="1">INDEX(budgetCoC[],MATCH("Subtotal " &amp; budgetProjectPlan[[#This Row],[Category]],budgetCoC[Category],0),MATCH(budgetProjectPlan[[#Headers],[Final]],budgetCoC[#Headers],0))</f>
        <v>0</v>
      </c>
      <c r="G65" s="60">
        <f ca="1">SUM(budgetProjectPlan[[#This Row],[Milestone 1]:[Final]])</f>
        <v>0</v>
      </c>
      <c r="H65" s="60">
        <f>ROW()-ROW(budgetProjectPlan[#Headers])</f>
        <v>48</v>
      </c>
      <c r="I65" s="60">
        <f>IF(budgetProjectPlan[row] &lt;= numCategories +3, budgetProjectPlan[row]-1, MOD(budgetProjectPlan[row]-1,numCategories+3) + IF(MOD(budgetProjectPlan[row]-2,numCategories+2)&gt;numCategories+1, 1,0))</f>
        <v>3</v>
      </c>
      <c r="J65" s="60">
        <f>IFERROR(INDEX(directors[Last],MAX(1,FLOOR((budgetProjectPlan[row]-1)/(numCategories+3)+1,1))),1)</f>
        <v>0</v>
      </c>
      <c r="L65"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Communication &amp; Publication</v>
      </c>
      <c r="M65" s="85">
        <f ca="1">budgetProjectPlan[[#This Row],[Milestone 1]]</f>
        <v>0</v>
      </c>
      <c r="N65" s="85">
        <f ca="1">budgetProjectPlan[[#This Row],[Milestone 2]]</f>
        <v>0</v>
      </c>
      <c r="O65" s="85">
        <f ca="1">budgetProjectPlan[[#This Row],[Milestone 3]]</f>
        <v>0</v>
      </c>
      <c r="P65" s="85">
        <f ca="1">budgetProjectPlan[[#This Row],[Milestone 4]]</f>
        <v>0</v>
      </c>
      <c r="Q65" s="85">
        <f ca="1">budgetProjectPlan[[#This Row],[Final]]</f>
        <v>0</v>
      </c>
      <c r="R65" s="60">
        <f ca="1">SUM(budgetSummary[[#This Row],[Milestone 1]:[Final]])</f>
        <v>0</v>
      </c>
      <c r="S65" s="60">
        <f>ROW()-ROW(budgetSummary[#Headers])</f>
        <v>48</v>
      </c>
      <c r="T65" s="60">
        <f>IF(budgetSummary[row] &lt;= numCategories +3, budgetSummary[row]-1, MOD(budgetSummary[row]-1,numCategories+3) + IF(MOD(budgetSummary[row]-2,numCategories+2)&gt;numCategories+1, 1,0))</f>
        <v>3</v>
      </c>
      <c r="U65" s="60">
        <f>IFERROR(INDEX(directors[Last],MAX(1,FLOOR((budgetSummary[row]-1)/(numCategories+3)+1,1))),1)</f>
        <v>0</v>
      </c>
    </row>
    <row r="66" spans="1:21" ht="15" customHeight="1" x14ac:dyDescent="0.25">
      <c r="A66"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Travel</v>
      </c>
      <c r="B66" s="60">
        <f ca="1">INDEX(budgetCoC[],MATCH("Subtotal " &amp; budgetProjectPlan[[#This Row],[Category]],budgetCoC[Category],0),MATCH(budgetProjectPlan[[#Headers],[Milestone 1]],budgetCoC[#Headers],0))</f>
        <v>0</v>
      </c>
      <c r="C66" s="60">
        <f ca="1">INDEX(budgetCoC[],MATCH("Subtotal " &amp; budgetProjectPlan[[#This Row],[Category]],budgetCoC[Category],0),MATCH(budgetProjectPlan[[#Headers],[Milestone 2]],budgetCoC[#Headers],0))</f>
        <v>0</v>
      </c>
      <c r="D66" s="60">
        <f ca="1">INDEX(budgetCoC[],MATCH("Subtotal " &amp; budgetProjectPlan[[#This Row],[Category]],budgetCoC[Category],0),MATCH(budgetProjectPlan[[#Headers],[Milestone 3]],budgetCoC[#Headers],0))</f>
        <v>0</v>
      </c>
      <c r="E66" s="60">
        <f ca="1">INDEX(budgetCoC[],MATCH("Subtotal " &amp; budgetProjectPlan[[#This Row],[Category]],budgetCoC[Category],0),MATCH(budgetProjectPlan[[#Headers],[Milestone 4]],budgetCoC[#Headers],0))</f>
        <v>0</v>
      </c>
      <c r="F66" s="60">
        <f ca="1">INDEX(budgetCoC[],MATCH("Subtotal " &amp; budgetProjectPlan[[#This Row],[Category]],budgetCoC[Category],0),MATCH(budgetProjectPlan[[#Headers],[Final]],budgetCoC[#Headers],0))</f>
        <v>0</v>
      </c>
      <c r="G66" s="60">
        <f ca="1">SUM(budgetProjectPlan[[#This Row],[Milestone 1]:[Final]])</f>
        <v>0</v>
      </c>
      <c r="H66" s="60">
        <f>ROW()-ROW(budgetProjectPlan[#Headers])</f>
        <v>49</v>
      </c>
      <c r="I66" s="60">
        <f>IF(budgetProjectPlan[row] &lt;= numCategories +3, budgetProjectPlan[row]-1, MOD(budgetProjectPlan[row]-1,numCategories+3) + IF(MOD(budgetProjectPlan[row]-2,numCategories+2)&gt;numCategories+1, 1,0))</f>
        <v>4</v>
      </c>
      <c r="J66" s="60">
        <f>IFERROR(INDEX(directors[Last],MAX(1,FLOOR((budgetProjectPlan[row]-1)/(numCategories+3)+1,1))),1)</f>
        <v>0</v>
      </c>
      <c r="L66"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Travel</v>
      </c>
      <c r="M66" s="85">
        <f ca="1">budgetProjectPlan[[#This Row],[Milestone 1]]</f>
        <v>0</v>
      </c>
      <c r="N66" s="85">
        <f ca="1">budgetProjectPlan[[#This Row],[Milestone 2]]</f>
        <v>0</v>
      </c>
      <c r="O66" s="85">
        <f ca="1">budgetProjectPlan[[#This Row],[Milestone 3]]</f>
        <v>0</v>
      </c>
      <c r="P66" s="85">
        <f ca="1">budgetProjectPlan[[#This Row],[Milestone 4]]</f>
        <v>0</v>
      </c>
      <c r="Q66" s="85">
        <f ca="1">budgetProjectPlan[[#This Row],[Final]]</f>
        <v>0</v>
      </c>
      <c r="R66" s="60">
        <f ca="1">SUM(budgetSummary[[#This Row],[Milestone 1]:[Final]])</f>
        <v>0</v>
      </c>
      <c r="S66" s="60">
        <f>ROW()-ROW(budgetSummary[#Headers])</f>
        <v>49</v>
      </c>
      <c r="T66" s="60">
        <f>IF(budgetSummary[row] &lt;= numCategories +3, budgetSummary[row]-1, MOD(budgetSummary[row]-1,numCategories+3) + IF(MOD(budgetSummary[row]-2,numCategories+2)&gt;numCategories+1, 1,0))</f>
        <v>4</v>
      </c>
      <c r="U66" s="60">
        <f>IFERROR(INDEX(directors[Last],MAX(1,FLOOR((budgetSummary[row]-1)/(numCategories+3)+1,1))),1)</f>
        <v>0</v>
      </c>
    </row>
    <row r="67" spans="1:21" ht="15" customHeight="1" x14ac:dyDescent="0.25">
      <c r="A67"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Consumables</v>
      </c>
      <c r="B67" s="60">
        <f ca="1">INDEX(budgetCoC[],MATCH("Subtotal " &amp; budgetProjectPlan[[#This Row],[Category]],budgetCoC[Category],0),MATCH(budgetProjectPlan[[#Headers],[Milestone 1]],budgetCoC[#Headers],0))</f>
        <v>0</v>
      </c>
      <c r="C67" s="60">
        <f ca="1">INDEX(budgetCoC[],MATCH("Subtotal " &amp; budgetProjectPlan[[#This Row],[Category]],budgetCoC[Category],0),MATCH(budgetProjectPlan[[#Headers],[Milestone 2]],budgetCoC[#Headers],0))</f>
        <v>0</v>
      </c>
      <c r="D67" s="60">
        <f ca="1">INDEX(budgetCoC[],MATCH("Subtotal " &amp; budgetProjectPlan[[#This Row],[Category]],budgetCoC[Category],0),MATCH(budgetProjectPlan[[#Headers],[Milestone 3]],budgetCoC[#Headers],0))</f>
        <v>0</v>
      </c>
      <c r="E67" s="60">
        <f ca="1">INDEX(budgetCoC[],MATCH("Subtotal " &amp; budgetProjectPlan[[#This Row],[Category]],budgetCoC[Category],0),MATCH(budgetProjectPlan[[#Headers],[Milestone 4]],budgetCoC[#Headers],0))</f>
        <v>0</v>
      </c>
      <c r="F67" s="60">
        <f ca="1">INDEX(budgetCoC[],MATCH("Subtotal " &amp; budgetProjectPlan[[#This Row],[Category]],budgetCoC[Category],0),MATCH(budgetProjectPlan[[#Headers],[Final]],budgetCoC[#Headers],0))</f>
        <v>0</v>
      </c>
      <c r="G67" s="60">
        <f ca="1">SUM(budgetProjectPlan[[#This Row],[Milestone 1]:[Final]])</f>
        <v>0</v>
      </c>
      <c r="H67" s="60">
        <f>ROW()-ROW(budgetProjectPlan[#Headers])</f>
        <v>50</v>
      </c>
      <c r="I67" s="60">
        <f>IF(budgetProjectPlan[row] &lt;= numCategories +3, budgetProjectPlan[row]-1, MOD(budgetProjectPlan[row]-1,numCategories+3) + IF(MOD(budgetProjectPlan[row]-2,numCategories+2)&gt;numCategories+1, 1,0))</f>
        <v>5</v>
      </c>
      <c r="J67" s="60">
        <f>IFERROR(INDEX(directors[Last],MAX(1,FLOOR((budgetProjectPlan[row]-1)/(numCategories+3)+1,1))),1)</f>
        <v>0</v>
      </c>
      <c r="L67"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Consumables</v>
      </c>
      <c r="M67" s="85">
        <f ca="1">budgetProjectPlan[[#This Row],[Milestone 1]]</f>
        <v>0</v>
      </c>
      <c r="N67" s="85">
        <f ca="1">budgetProjectPlan[[#This Row],[Milestone 2]]</f>
        <v>0</v>
      </c>
      <c r="O67" s="85">
        <f ca="1">budgetProjectPlan[[#This Row],[Milestone 3]]</f>
        <v>0</v>
      </c>
      <c r="P67" s="85">
        <f ca="1">budgetProjectPlan[[#This Row],[Milestone 4]]</f>
        <v>0</v>
      </c>
      <c r="Q67" s="85">
        <f ca="1">budgetProjectPlan[[#This Row],[Final]]</f>
        <v>0</v>
      </c>
      <c r="R67" s="60">
        <f ca="1">SUM(budgetSummary[[#This Row],[Milestone 1]:[Final]])</f>
        <v>0</v>
      </c>
      <c r="S67" s="60">
        <f>ROW()-ROW(budgetSummary[#Headers])</f>
        <v>50</v>
      </c>
      <c r="T67" s="60">
        <f>IF(budgetSummary[row] &lt;= numCategories +3, budgetSummary[row]-1, MOD(budgetSummary[row]-1,numCategories+3) + IF(MOD(budgetSummary[row]-2,numCategories+2)&gt;numCategories+1, 1,0))</f>
        <v>5</v>
      </c>
      <c r="U67" s="60">
        <f>IFERROR(INDEX(directors[Last],MAX(1,FLOOR((budgetSummary[row]-1)/(numCategories+3)+1,1))),1)</f>
        <v>0</v>
      </c>
    </row>
    <row r="68" spans="1:21" ht="15" customHeight="1" x14ac:dyDescent="0.25">
      <c r="A68"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Other</v>
      </c>
      <c r="B68" s="60">
        <f ca="1">INDEX(budgetCoC[],MATCH("Subtotal " &amp; budgetProjectPlan[[#This Row],[Category]],budgetCoC[Category],0),MATCH(budgetProjectPlan[[#Headers],[Milestone 1]],budgetCoC[#Headers],0))</f>
        <v>0</v>
      </c>
      <c r="C68" s="60">
        <f ca="1">INDEX(budgetCoC[],MATCH("Subtotal " &amp; budgetProjectPlan[[#This Row],[Category]],budgetCoC[Category],0),MATCH(budgetProjectPlan[[#Headers],[Milestone 2]],budgetCoC[#Headers],0))</f>
        <v>0</v>
      </c>
      <c r="D68" s="60">
        <f ca="1">INDEX(budgetCoC[],MATCH("Subtotal " &amp; budgetProjectPlan[[#This Row],[Category]],budgetCoC[Category],0),MATCH(budgetProjectPlan[[#Headers],[Milestone 3]],budgetCoC[#Headers],0))</f>
        <v>0</v>
      </c>
      <c r="E68" s="60">
        <f ca="1">INDEX(budgetCoC[],MATCH("Subtotal " &amp; budgetProjectPlan[[#This Row],[Category]],budgetCoC[Category],0),MATCH(budgetProjectPlan[[#Headers],[Milestone 4]],budgetCoC[#Headers],0))</f>
        <v>0</v>
      </c>
      <c r="F68" s="60">
        <f ca="1">INDEX(budgetCoC[],MATCH("Subtotal " &amp; budgetProjectPlan[[#This Row],[Category]],budgetCoC[Category],0),MATCH(budgetProjectPlan[[#Headers],[Final]],budgetCoC[#Headers],0))</f>
        <v>0</v>
      </c>
      <c r="G68" s="60">
        <f ca="1">SUM(budgetProjectPlan[[#This Row],[Milestone 1]:[Final]])</f>
        <v>0</v>
      </c>
      <c r="H68" s="60">
        <f>ROW()-ROW(budgetProjectPlan[#Headers])</f>
        <v>51</v>
      </c>
      <c r="I68" s="60">
        <f>IF(budgetProjectPlan[row] &lt;= numCategories +3, budgetProjectPlan[row]-1, MOD(budgetProjectPlan[row]-1,numCategories+3) + IF(MOD(budgetProjectPlan[row]-2,numCategories+2)&gt;numCategories+1, 1,0))</f>
        <v>6</v>
      </c>
      <c r="J68" s="60">
        <f>IFERROR(INDEX(directors[Last],MAX(1,FLOOR((budgetProjectPlan[row]-1)/(numCategories+3)+1,1))),1)</f>
        <v>0</v>
      </c>
      <c r="L68"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Other</v>
      </c>
      <c r="M68" s="85">
        <f ca="1">budgetProjectPlan[[#This Row],[Milestone 1]]</f>
        <v>0</v>
      </c>
      <c r="N68" s="85">
        <f ca="1">budgetProjectPlan[[#This Row],[Milestone 2]]</f>
        <v>0</v>
      </c>
      <c r="O68" s="85">
        <f ca="1">budgetProjectPlan[[#This Row],[Milestone 3]]</f>
        <v>0</v>
      </c>
      <c r="P68" s="85">
        <f ca="1">budgetProjectPlan[[#This Row],[Milestone 4]]</f>
        <v>0</v>
      </c>
      <c r="Q68" s="85">
        <f ca="1">budgetProjectPlan[[#This Row],[Final]]</f>
        <v>0</v>
      </c>
      <c r="R68" s="60">
        <f ca="1">SUM(budgetSummary[[#This Row],[Milestone 1]:[Final]])</f>
        <v>0</v>
      </c>
      <c r="S68" s="60">
        <f>ROW()-ROW(budgetSummary[#Headers])</f>
        <v>51</v>
      </c>
      <c r="T68" s="60">
        <f>IF(budgetSummary[row] &lt;= numCategories +3, budgetSummary[row]-1, MOD(budgetSummary[row]-1,numCategories+3) + IF(MOD(budgetSummary[row]-2,numCategories+2)&gt;numCategories+1, 1,0))</f>
        <v>6</v>
      </c>
      <c r="U68" s="60">
        <f>IFERROR(INDEX(directors[Last],MAX(1,FLOOR((budgetSummary[row]-1)/(numCategories+3)+1,1))),1)</f>
        <v>0</v>
      </c>
    </row>
    <row r="69" spans="1:21" ht="15" customHeight="1" x14ac:dyDescent="0.25">
      <c r="A69"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Stipends</v>
      </c>
      <c r="B69" s="60">
        <f ca="1">INDEX(budgetCoC[],MATCH("Subtotal " &amp; budgetProjectPlan[[#This Row],[Category]],budgetCoC[Category],0),MATCH(budgetProjectPlan[[#Headers],[Milestone 1]],budgetCoC[#Headers],0))</f>
        <v>0</v>
      </c>
      <c r="C69" s="60">
        <f ca="1">INDEX(budgetCoC[],MATCH("Subtotal " &amp; budgetProjectPlan[[#This Row],[Category]],budgetCoC[Category],0),MATCH(budgetProjectPlan[[#Headers],[Milestone 2]],budgetCoC[#Headers],0))</f>
        <v>0</v>
      </c>
      <c r="D69" s="60">
        <f ca="1">INDEX(budgetCoC[],MATCH("Subtotal " &amp; budgetProjectPlan[[#This Row],[Category]],budgetCoC[Category],0),MATCH(budgetProjectPlan[[#Headers],[Milestone 3]],budgetCoC[#Headers],0))</f>
        <v>0</v>
      </c>
      <c r="E69" s="60">
        <f ca="1">INDEX(budgetCoC[],MATCH("Subtotal " &amp; budgetProjectPlan[[#This Row],[Category]],budgetCoC[Category],0),MATCH(budgetProjectPlan[[#Headers],[Milestone 4]],budgetCoC[#Headers],0))</f>
        <v>0</v>
      </c>
      <c r="F69" s="60">
        <f ca="1">INDEX(budgetCoC[],MATCH("Subtotal " &amp; budgetProjectPlan[[#This Row],[Category]],budgetCoC[Category],0),MATCH(budgetProjectPlan[[#Headers],[Final]],budgetCoC[#Headers],0))</f>
        <v>0</v>
      </c>
      <c r="G69" s="60">
        <f ca="1">SUM(budgetProjectPlan[[#This Row],[Milestone 1]:[Final]])</f>
        <v>0</v>
      </c>
      <c r="H69" s="60">
        <f>ROW()-ROW(budgetProjectPlan[#Headers])</f>
        <v>52</v>
      </c>
      <c r="I69" s="60">
        <f>IF(budgetProjectPlan[row] &lt;= numCategories +3, budgetProjectPlan[row]-1, MOD(budgetProjectPlan[row]-1,numCategories+3) + IF(MOD(budgetProjectPlan[row]-2,numCategories+2)&gt;numCategories+1, 1,0))</f>
        <v>7</v>
      </c>
      <c r="J69" s="60">
        <f>IFERROR(INDEX(directors[Last],MAX(1,FLOOR((budgetProjectPlan[row]-1)/(numCategories+3)+1,1))),1)</f>
        <v>0</v>
      </c>
      <c r="L69"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Stipends</v>
      </c>
      <c r="M69" s="85">
        <f ca="1">budgetProjectPlan[[#This Row],[Milestone 1]]</f>
        <v>0</v>
      </c>
      <c r="N69" s="85">
        <f ca="1">budgetProjectPlan[[#This Row],[Milestone 2]]</f>
        <v>0</v>
      </c>
      <c r="O69" s="85">
        <f ca="1">budgetProjectPlan[[#This Row],[Milestone 3]]</f>
        <v>0</v>
      </c>
      <c r="P69" s="85">
        <f ca="1">budgetProjectPlan[[#This Row],[Milestone 4]]</f>
        <v>0</v>
      </c>
      <c r="Q69" s="85">
        <f ca="1">budgetProjectPlan[[#This Row],[Final]]</f>
        <v>0</v>
      </c>
      <c r="R69" s="60">
        <f ca="1">SUM(budgetSummary[[#This Row],[Milestone 1]:[Final]])</f>
        <v>0</v>
      </c>
      <c r="S69" s="60">
        <f>ROW()-ROW(budgetSummary[#Headers])</f>
        <v>52</v>
      </c>
      <c r="T69" s="60">
        <f>IF(budgetSummary[row] &lt;= numCategories +3, budgetSummary[row]-1, MOD(budgetSummary[row]-1,numCategories+3) + IF(MOD(budgetSummary[row]-2,numCategories+2)&gt;numCategories+1, 1,0))</f>
        <v>7</v>
      </c>
      <c r="U69" s="60">
        <f>IFERROR(INDEX(directors[Last],MAX(1,FLOOR((budgetSummary[row]-1)/(numCategories+3)+1,1))),1)</f>
        <v>0</v>
      </c>
    </row>
    <row r="70" spans="1:21" ht="15" customHeight="1" x14ac:dyDescent="0.25">
      <c r="A70"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Co-financing of personnel</v>
      </c>
      <c r="B70" s="60">
        <f ca="1">INDEX(budgetCoC[],MATCH("Subtotal " &amp; budgetProjectPlan[[#This Row],[Category]],budgetCoC[Category],0),MATCH(budgetProjectPlan[[#Headers],[Milestone 1]],budgetCoC[#Headers],0))</f>
        <v>0</v>
      </c>
      <c r="C70" s="60">
        <f ca="1">INDEX(budgetCoC[],MATCH("Subtotal " &amp; budgetProjectPlan[[#This Row],[Category]],budgetCoC[Category],0),MATCH(budgetProjectPlan[[#Headers],[Milestone 2]],budgetCoC[#Headers],0))</f>
        <v>0</v>
      </c>
      <c r="D70" s="60">
        <f ca="1">INDEX(budgetCoC[],MATCH("Subtotal " &amp; budgetProjectPlan[[#This Row],[Category]],budgetCoC[Category],0),MATCH(budgetProjectPlan[[#Headers],[Milestone 3]],budgetCoC[#Headers],0))</f>
        <v>0</v>
      </c>
      <c r="E70" s="60">
        <f ca="1">INDEX(budgetCoC[],MATCH("Subtotal " &amp; budgetProjectPlan[[#This Row],[Category]],budgetCoC[Category],0),MATCH(budgetProjectPlan[[#Headers],[Milestone 4]],budgetCoC[#Headers],0))</f>
        <v>0</v>
      </c>
      <c r="F70" s="60">
        <f ca="1">INDEX(budgetCoC[],MATCH("Subtotal " &amp; budgetProjectPlan[[#This Row],[Category]],budgetCoC[Category],0),MATCH(budgetProjectPlan[[#Headers],[Final]],budgetCoC[#Headers],0))</f>
        <v>0</v>
      </c>
      <c r="G70" s="60">
        <f ca="1">SUM(budgetProjectPlan[[#This Row],[Milestone 1]:[Final]])</f>
        <v>0</v>
      </c>
      <c r="H70" s="60">
        <f>ROW()-ROW(budgetProjectPlan[#Headers])</f>
        <v>53</v>
      </c>
      <c r="I70" s="60">
        <f>IF(budgetProjectPlan[row] &lt;= numCategories +3, budgetProjectPlan[row]-1, MOD(budgetProjectPlan[row]-1,numCategories+3) + IF(MOD(budgetProjectPlan[row]-2,numCategories+2)&gt;numCategories+1, 1,0))</f>
        <v>8</v>
      </c>
      <c r="J70" s="60">
        <f>IFERROR(INDEX(directors[Last],MAX(1,FLOOR((budgetProjectPlan[row]-1)/(numCategories+3)+1,1))),1)</f>
        <v>0</v>
      </c>
      <c r="L70"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Co-financing of personnel</v>
      </c>
      <c r="M70" s="85">
        <f ca="1">budgetProjectPlan[[#This Row],[Milestone 1]]</f>
        <v>0</v>
      </c>
      <c r="N70" s="85">
        <f ca="1">budgetProjectPlan[[#This Row],[Milestone 2]]</f>
        <v>0</v>
      </c>
      <c r="O70" s="85">
        <f ca="1">budgetProjectPlan[[#This Row],[Milestone 3]]</f>
        <v>0</v>
      </c>
      <c r="P70" s="85">
        <f ca="1">budgetProjectPlan[[#This Row],[Milestone 4]]</f>
        <v>0</v>
      </c>
      <c r="Q70" s="85">
        <f ca="1">budgetProjectPlan[[#This Row],[Final]]</f>
        <v>0</v>
      </c>
      <c r="R70" s="60">
        <f ca="1">SUM(budgetSummary[[#This Row],[Milestone 1]:[Final]])</f>
        <v>0</v>
      </c>
      <c r="S70" s="60">
        <f>ROW()-ROW(budgetSummary[#Headers])</f>
        <v>53</v>
      </c>
      <c r="T70" s="60">
        <f>IF(budgetSummary[row] &lt;= numCategories +3, budgetSummary[row]-1, MOD(budgetSummary[row]-1,numCategories+3) + IF(MOD(budgetSummary[row]-2,numCategories+2)&gt;numCategories+1, 1,0))</f>
        <v>8</v>
      </c>
      <c r="U70" s="60">
        <f>IFERROR(INDEX(directors[Last],MAX(1,FLOOR((budgetSummary[row]-1)/(numCategories+3)+1,1))),1)</f>
        <v>0</v>
      </c>
    </row>
    <row r="71" spans="1:21" ht="15" customHeight="1" x14ac:dyDescent="0.25">
      <c r="A71"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Subtotal 0</v>
      </c>
      <c r="B71" s="60">
        <f ca="1">SUBTOTAL(9,B63:B70)</f>
        <v>0</v>
      </c>
      <c r="C71" s="60">
        <f t="shared" ref="C71:G71" ca="1" si="8">SUBTOTAL(9,C63:C70)</f>
        <v>0</v>
      </c>
      <c r="D71" s="60">
        <f t="shared" ca="1" si="8"/>
        <v>0</v>
      </c>
      <c r="E71" s="60">
        <f t="shared" ca="1" si="8"/>
        <v>0</v>
      </c>
      <c r="F71" s="60">
        <f t="shared" ca="1" si="8"/>
        <v>0</v>
      </c>
      <c r="G71" s="60">
        <f t="shared" ca="1" si="8"/>
        <v>0</v>
      </c>
      <c r="H71" s="60">
        <f>ROW()-ROW(budgetProjectPlan[#Headers])</f>
        <v>54</v>
      </c>
      <c r="I71" s="60">
        <f>IF(budgetProjectPlan[row] &lt;= numCategories +3, budgetProjectPlan[row]-1, MOD(budgetProjectPlan[row]-1,numCategories+3) + IF(MOD(budgetProjectPlan[row]-2,numCategories+2)&gt;numCategories+1, 1,0))</f>
        <v>9</v>
      </c>
      <c r="J71" s="60">
        <f>IFERROR(INDEX(directors[Last],MAX(1,FLOOR((budgetProjectPlan[row]-1)/(numCategories+3)+1,1))),1)</f>
        <v>0</v>
      </c>
      <c r="L71"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Subtotal 0</v>
      </c>
      <c r="M71" s="85">
        <f ca="1">SUBTOTAL(9,M63:M70)</f>
        <v>0</v>
      </c>
      <c r="N71" s="85">
        <f t="shared" ref="N71:R71" ca="1" si="9">SUBTOTAL(9,N63:N70)</f>
        <v>0</v>
      </c>
      <c r="O71" s="85">
        <f t="shared" ca="1" si="9"/>
        <v>0</v>
      </c>
      <c r="P71" s="85">
        <f t="shared" ca="1" si="9"/>
        <v>0</v>
      </c>
      <c r="Q71" s="85">
        <f t="shared" ca="1" si="9"/>
        <v>0</v>
      </c>
      <c r="R71" s="85">
        <f t="shared" ca="1" si="9"/>
        <v>0</v>
      </c>
      <c r="S71" s="60">
        <f>ROW()-ROW(budgetSummary[#Headers])</f>
        <v>54</v>
      </c>
      <c r="T71" s="60">
        <f>IF(budgetSummary[row] &lt;= numCategories +3, budgetSummary[row]-1, MOD(budgetSummary[row]-1,numCategories+3) + IF(MOD(budgetSummary[row]-2,numCategories+2)&gt;numCategories+1, 1,0))</f>
        <v>9</v>
      </c>
      <c r="U71" s="60">
        <f>IFERROR(INDEX(directors[Last],MAX(1,FLOOR((budgetSummary[row]-1)/(numCategories+3)+1,1))),1)</f>
        <v>0</v>
      </c>
    </row>
    <row r="72" spans="1:21" ht="15" customHeight="1" x14ac:dyDescent="0.25">
      <c r="A72"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c>
      <c r="H72" s="60">
        <f>ROW()-ROW(budgetProjectPlan[#Headers])</f>
        <v>55</v>
      </c>
      <c r="I72" s="60">
        <f>IF(budgetProjectPlan[row] &lt;= numCategories +3, budgetProjectPlan[row]-1, MOD(budgetProjectPlan[row]-1,numCategories+3) + IF(MOD(budgetProjectPlan[row]-2,numCategories+2)&gt;numCategories+1, 1,0))</f>
        <v>10</v>
      </c>
      <c r="J72" s="60">
        <f>IFERROR(INDEX(directors[Last],MAX(1,FLOOR((budgetProjectPlan[row]-1)/(numCategories+3)+1,1))),1)</f>
        <v>0</v>
      </c>
      <c r="M72" s="85"/>
      <c r="N72" s="85"/>
      <c r="O72" s="85"/>
      <c r="P72" s="85"/>
      <c r="Q72" s="85"/>
      <c r="S72" s="60">
        <f>ROW()-ROW(budgetSummary[#Headers])</f>
        <v>55</v>
      </c>
      <c r="T72" s="60">
        <f>IF(budgetSummary[row] &lt;= numCategories +3, budgetSummary[row]-1, MOD(budgetSummary[row]-1,numCategories+3) + IF(MOD(budgetSummary[row]-2,numCategories+2)&gt;numCategories+1, 1,0))</f>
        <v>10</v>
      </c>
      <c r="U72" s="60">
        <f>IFERROR(INDEX(directors[Last],MAX(1,FLOOR((budgetSummary[row]-1)/(numCategories+3)+1,1))),1)</f>
        <v>0</v>
      </c>
    </row>
    <row r="73" spans="1:21" ht="15" customHeight="1" x14ac:dyDescent="0.25">
      <c r="A73"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xml:space="preserve">0 / </v>
      </c>
      <c r="H73" s="60">
        <f>ROW()-ROW(budgetProjectPlan[#Headers])</f>
        <v>56</v>
      </c>
      <c r="I73" s="60">
        <f>IF(budgetProjectPlan[row] &lt;= numCategories +3, budgetProjectPlan[row]-1, MOD(budgetProjectPlan[row]-1,numCategories+3) + IF(MOD(budgetProjectPlan[row]-2,numCategories+2)&gt;numCategories+1, 1,0))</f>
        <v>0</v>
      </c>
      <c r="J73" s="60">
        <f>IFERROR(INDEX(directors[Last],MAX(1,FLOOR((budgetProjectPlan[row]-1)/(numCategories+3)+1,1))),1)</f>
        <v>0</v>
      </c>
      <c r="L73"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xml:space="preserve">0 / </v>
      </c>
      <c r="M73" s="85"/>
      <c r="N73" s="85"/>
      <c r="O73" s="85"/>
      <c r="P73" s="85"/>
      <c r="Q73" s="85"/>
      <c r="S73" s="60">
        <f>ROW()-ROW(budgetSummary[#Headers])</f>
        <v>56</v>
      </c>
      <c r="T73" s="60">
        <f>IF(budgetSummary[row] &lt;= numCategories +3, budgetSummary[row]-1, MOD(budgetSummary[row]-1,numCategories+3) + IF(MOD(budgetSummary[row]-2,numCategories+2)&gt;numCategories+1, 1,0))</f>
        <v>0</v>
      </c>
      <c r="U73" s="60">
        <f>IFERROR(INDEX(directors[Last],MAX(1,FLOOR((budgetSummary[row]-1)/(numCategories+3)+1,1))),1)</f>
        <v>0</v>
      </c>
    </row>
    <row r="74" spans="1:21" ht="15" customHeight="1" x14ac:dyDescent="0.25">
      <c r="A74"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Equipment</v>
      </c>
      <c r="B74" s="60">
        <f ca="1">INDEX(budgetCoD[],MATCH("Subtotal " &amp; budgetProjectPlan[[#This Row],[Category]],budgetCoD[Category],0),MATCH(budgetProjectPlan[[#Headers],[Milestone 1]],budgetCoD[#Headers],0))</f>
        <v>0</v>
      </c>
      <c r="C74" s="60">
        <f ca="1">INDEX(budgetCoD[],MATCH("Subtotal " &amp; budgetProjectPlan[[#This Row],[Category]],budgetCoD[Category],0),MATCH(budgetProjectPlan[[#Headers],[Milestone 2]],budgetCoD[#Headers],0))</f>
        <v>0</v>
      </c>
      <c r="D74" s="60">
        <f ca="1">INDEX(budgetCoD[],MATCH("Subtotal " &amp; budgetProjectPlan[[#This Row],[Category]],budgetCoD[Category],0),MATCH(budgetProjectPlan[[#Headers],[Milestone 3]],budgetCoD[#Headers],0))</f>
        <v>0</v>
      </c>
      <c r="E74" s="60">
        <f ca="1">INDEX(budgetCoD[],MATCH("Subtotal " &amp; budgetProjectPlan[[#This Row],[Category]],budgetCoD[Category],0),MATCH(budgetProjectPlan[[#Headers],[Milestone 4]],budgetCoD[#Headers],0))</f>
        <v>0</v>
      </c>
      <c r="F74" s="60">
        <f ca="1">INDEX(budgetCoD[],MATCH("Subtotal " &amp; budgetProjectPlan[[#This Row],[Category]],budgetCoD[Category],0),MATCH(budgetProjectPlan[[#Headers],[Final]],budgetCoD[#Headers],0))</f>
        <v>0</v>
      </c>
      <c r="G74" s="60">
        <f ca="1">SUM(budgetProjectPlan[[#This Row],[Milestone 1]:[Final]])</f>
        <v>0</v>
      </c>
      <c r="H74" s="60">
        <f>ROW()-ROW(budgetProjectPlan[#Headers])</f>
        <v>57</v>
      </c>
      <c r="I74" s="60">
        <f>IF(budgetProjectPlan[row] &lt;= numCategories +3, budgetProjectPlan[row]-1, MOD(budgetProjectPlan[row]-1,numCategories+3) + IF(MOD(budgetProjectPlan[row]-2,numCategories+2)&gt;numCategories+1, 1,0))</f>
        <v>1</v>
      </c>
      <c r="J74" s="60">
        <f>IFERROR(INDEX(directors[Last],MAX(1,FLOOR((budgetProjectPlan[row]-1)/(numCategories+3)+1,1))),1)</f>
        <v>0</v>
      </c>
      <c r="L74"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Equipment</v>
      </c>
      <c r="M74" s="85">
        <f ca="1">budgetProjectPlan[[#This Row],[Milestone 1]]</f>
        <v>0</v>
      </c>
      <c r="N74" s="85">
        <f ca="1">budgetProjectPlan[[#This Row],[Milestone 2]]</f>
        <v>0</v>
      </c>
      <c r="O74" s="85">
        <f ca="1">budgetProjectPlan[[#This Row],[Milestone 3]]</f>
        <v>0</v>
      </c>
      <c r="P74" s="85">
        <f ca="1">budgetProjectPlan[[#This Row],[Milestone 4]]</f>
        <v>0</v>
      </c>
      <c r="Q74" s="85">
        <f ca="1">budgetProjectPlan[[#This Row],[Final]]</f>
        <v>0</v>
      </c>
      <c r="R74" s="60">
        <f ca="1">SUM(budgetSummary[[#This Row],[Milestone 1]:[Final]])</f>
        <v>0</v>
      </c>
      <c r="S74" s="60">
        <f>ROW()-ROW(budgetSummary[#Headers])</f>
        <v>57</v>
      </c>
      <c r="T74" s="60">
        <f>IF(budgetSummary[row] &lt;= numCategories +3, budgetSummary[row]-1, MOD(budgetSummary[row]-1,numCategories+3) + IF(MOD(budgetSummary[row]-2,numCategories+2)&gt;numCategories+1, 1,0))</f>
        <v>1</v>
      </c>
      <c r="U74" s="60">
        <f>IFERROR(INDEX(directors[Last],MAX(1,FLOOR((budgetSummary[row]-1)/(numCategories+3)+1,1))),1)</f>
        <v>0</v>
      </c>
    </row>
    <row r="75" spans="1:21" ht="15" customHeight="1" x14ac:dyDescent="0.25">
      <c r="A75"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Training</v>
      </c>
      <c r="B75" s="60">
        <f ca="1">INDEX(budgetCoD[],MATCH("Subtotal " &amp; budgetProjectPlan[[#This Row],[Category]],budgetCoD[Category],0),MATCH(budgetProjectPlan[[#Headers],[Milestone 1]],budgetCoD[#Headers],0))</f>
        <v>0</v>
      </c>
      <c r="C75" s="60">
        <f ca="1">INDEX(budgetCoD[],MATCH("Subtotal " &amp; budgetProjectPlan[[#This Row],[Category]],budgetCoD[Category],0),MATCH(budgetProjectPlan[[#Headers],[Milestone 2]],budgetCoD[#Headers],0))</f>
        <v>0</v>
      </c>
      <c r="D75" s="60">
        <f ca="1">INDEX(budgetCoD[],MATCH("Subtotal " &amp; budgetProjectPlan[[#This Row],[Category]],budgetCoD[Category],0),MATCH(budgetProjectPlan[[#Headers],[Milestone 3]],budgetCoD[#Headers],0))</f>
        <v>0</v>
      </c>
      <c r="E75" s="60">
        <f ca="1">INDEX(budgetCoD[],MATCH("Subtotal " &amp; budgetProjectPlan[[#This Row],[Category]],budgetCoD[Category],0),MATCH(budgetProjectPlan[[#Headers],[Milestone 4]],budgetCoD[#Headers],0))</f>
        <v>0</v>
      </c>
      <c r="F75" s="60">
        <f ca="1">INDEX(budgetCoD[],MATCH("Subtotal " &amp; budgetProjectPlan[[#This Row],[Category]],budgetCoD[Category],0),MATCH(budgetProjectPlan[[#Headers],[Final]],budgetCoD[#Headers],0))</f>
        <v>0</v>
      </c>
      <c r="G75" s="60">
        <f ca="1">SUM(budgetProjectPlan[[#This Row],[Milestone 1]:[Final]])</f>
        <v>0</v>
      </c>
      <c r="H75" s="60">
        <f>ROW()-ROW(budgetProjectPlan[#Headers])</f>
        <v>58</v>
      </c>
      <c r="I75" s="60">
        <f>IF(budgetProjectPlan[row] &lt;= numCategories +3, budgetProjectPlan[row]-1, MOD(budgetProjectPlan[row]-1,numCategories+3) + IF(MOD(budgetProjectPlan[row]-2,numCategories+2)&gt;numCategories+1, 1,0))</f>
        <v>2</v>
      </c>
      <c r="J75" s="60">
        <f>IFERROR(INDEX(directors[Last],MAX(1,FLOOR((budgetProjectPlan[row]-1)/(numCategories+3)+1,1))),1)</f>
        <v>0</v>
      </c>
      <c r="L75"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Training</v>
      </c>
      <c r="M75" s="85">
        <f ca="1">budgetProjectPlan[[#This Row],[Milestone 1]]</f>
        <v>0</v>
      </c>
      <c r="N75" s="85">
        <f ca="1">budgetProjectPlan[[#This Row],[Milestone 2]]</f>
        <v>0</v>
      </c>
      <c r="O75" s="85">
        <f ca="1">budgetProjectPlan[[#This Row],[Milestone 3]]</f>
        <v>0</v>
      </c>
      <c r="P75" s="85">
        <f ca="1">budgetProjectPlan[[#This Row],[Milestone 4]]</f>
        <v>0</v>
      </c>
      <c r="Q75" s="85">
        <f ca="1">budgetProjectPlan[[#This Row],[Final]]</f>
        <v>0</v>
      </c>
      <c r="R75" s="60">
        <f ca="1">SUM(budgetSummary[[#This Row],[Milestone 1]:[Final]])</f>
        <v>0</v>
      </c>
      <c r="S75" s="60">
        <f>ROW()-ROW(budgetSummary[#Headers])</f>
        <v>58</v>
      </c>
      <c r="T75" s="60">
        <f>IF(budgetSummary[row] &lt;= numCategories +3, budgetSummary[row]-1, MOD(budgetSummary[row]-1,numCategories+3) + IF(MOD(budgetSummary[row]-2,numCategories+2)&gt;numCategories+1, 1,0))</f>
        <v>2</v>
      </c>
      <c r="U75" s="60">
        <f>IFERROR(INDEX(directors[Last],MAX(1,FLOOR((budgetSummary[row]-1)/(numCategories+3)+1,1))),1)</f>
        <v>0</v>
      </c>
    </row>
    <row r="76" spans="1:21" ht="15" customHeight="1" x14ac:dyDescent="0.25">
      <c r="A76"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Communication &amp; Publication</v>
      </c>
      <c r="B76" s="60">
        <f ca="1">INDEX(budgetCoD[],MATCH("Subtotal " &amp; budgetProjectPlan[[#This Row],[Category]],budgetCoD[Category],0),MATCH(budgetProjectPlan[[#Headers],[Milestone 1]],budgetCoD[#Headers],0))</f>
        <v>0</v>
      </c>
      <c r="C76" s="60">
        <f ca="1">INDEX(budgetCoD[],MATCH("Subtotal " &amp; budgetProjectPlan[[#This Row],[Category]],budgetCoD[Category],0),MATCH(budgetProjectPlan[[#Headers],[Milestone 2]],budgetCoD[#Headers],0))</f>
        <v>0</v>
      </c>
      <c r="D76" s="60">
        <f ca="1">INDEX(budgetCoD[],MATCH("Subtotal " &amp; budgetProjectPlan[[#This Row],[Category]],budgetCoD[Category],0),MATCH(budgetProjectPlan[[#Headers],[Milestone 3]],budgetCoD[#Headers],0))</f>
        <v>0</v>
      </c>
      <c r="E76" s="60">
        <f ca="1">INDEX(budgetCoD[],MATCH("Subtotal " &amp; budgetProjectPlan[[#This Row],[Category]],budgetCoD[Category],0),MATCH(budgetProjectPlan[[#Headers],[Milestone 4]],budgetCoD[#Headers],0))</f>
        <v>0</v>
      </c>
      <c r="F76" s="60">
        <f ca="1">INDEX(budgetCoD[],MATCH("Subtotal " &amp; budgetProjectPlan[[#This Row],[Category]],budgetCoD[Category],0),MATCH(budgetProjectPlan[[#Headers],[Final]],budgetCoD[#Headers],0))</f>
        <v>0</v>
      </c>
      <c r="G76" s="60">
        <f ca="1">SUM(budgetProjectPlan[[#This Row],[Milestone 1]:[Final]])</f>
        <v>0</v>
      </c>
      <c r="H76" s="60">
        <f>ROW()-ROW(budgetProjectPlan[#Headers])</f>
        <v>59</v>
      </c>
      <c r="I76" s="60">
        <f>IF(budgetProjectPlan[row] &lt;= numCategories +3, budgetProjectPlan[row]-1, MOD(budgetProjectPlan[row]-1,numCategories+3) + IF(MOD(budgetProjectPlan[row]-2,numCategories+2)&gt;numCategories+1, 1,0))</f>
        <v>3</v>
      </c>
      <c r="J76" s="60">
        <f>IFERROR(INDEX(directors[Last],MAX(1,FLOOR((budgetProjectPlan[row]-1)/(numCategories+3)+1,1))),1)</f>
        <v>0</v>
      </c>
      <c r="L76"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Communication &amp; Publication</v>
      </c>
      <c r="M76" s="85">
        <f ca="1">budgetProjectPlan[[#This Row],[Milestone 1]]</f>
        <v>0</v>
      </c>
      <c r="N76" s="85">
        <f ca="1">budgetProjectPlan[[#This Row],[Milestone 2]]</f>
        <v>0</v>
      </c>
      <c r="O76" s="85">
        <f ca="1">budgetProjectPlan[[#This Row],[Milestone 3]]</f>
        <v>0</v>
      </c>
      <c r="P76" s="85">
        <f ca="1">budgetProjectPlan[[#This Row],[Milestone 4]]</f>
        <v>0</v>
      </c>
      <c r="Q76" s="85">
        <f ca="1">budgetProjectPlan[[#This Row],[Final]]</f>
        <v>0</v>
      </c>
      <c r="R76" s="60">
        <f ca="1">SUM(budgetSummary[[#This Row],[Milestone 1]:[Final]])</f>
        <v>0</v>
      </c>
      <c r="S76" s="60">
        <f>ROW()-ROW(budgetSummary[#Headers])</f>
        <v>59</v>
      </c>
      <c r="T76" s="60">
        <f>IF(budgetSummary[row] &lt;= numCategories +3, budgetSummary[row]-1, MOD(budgetSummary[row]-1,numCategories+3) + IF(MOD(budgetSummary[row]-2,numCategories+2)&gt;numCategories+1, 1,0))</f>
        <v>3</v>
      </c>
      <c r="U76" s="60">
        <f>IFERROR(INDEX(directors[Last],MAX(1,FLOOR((budgetSummary[row]-1)/(numCategories+3)+1,1))),1)</f>
        <v>0</v>
      </c>
    </row>
    <row r="77" spans="1:21" ht="15" customHeight="1" x14ac:dyDescent="0.25">
      <c r="A77"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Travel</v>
      </c>
      <c r="B77" s="60">
        <f ca="1">INDEX(budgetCoD[],MATCH("Subtotal " &amp; budgetProjectPlan[[#This Row],[Category]],budgetCoD[Category],0),MATCH(budgetProjectPlan[[#Headers],[Milestone 1]],budgetCoD[#Headers],0))</f>
        <v>0</v>
      </c>
      <c r="C77" s="60">
        <f ca="1">INDEX(budgetCoD[],MATCH("Subtotal " &amp; budgetProjectPlan[[#This Row],[Category]],budgetCoD[Category],0),MATCH(budgetProjectPlan[[#Headers],[Milestone 2]],budgetCoD[#Headers],0))</f>
        <v>0</v>
      </c>
      <c r="D77" s="60">
        <f ca="1">INDEX(budgetCoD[],MATCH("Subtotal " &amp; budgetProjectPlan[[#This Row],[Category]],budgetCoD[Category],0),MATCH(budgetProjectPlan[[#Headers],[Milestone 3]],budgetCoD[#Headers],0))</f>
        <v>0</v>
      </c>
      <c r="E77" s="60">
        <f ca="1">INDEX(budgetCoD[],MATCH("Subtotal " &amp; budgetProjectPlan[[#This Row],[Category]],budgetCoD[Category],0),MATCH(budgetProjectPlan[[#Headers],[Milestone 4]],budgetCoD[#Headers],0))</f>
        <v>0</v>
      </c>
      <c r="F77" s="60">
        <f ca="1">INDEX(budgetCoD[],MATCH("Subtotal " &amp; budgetProjectPlan[[#This Row],[Category]],budgetCoD[Category],0),MATCH(budgetProjectPlan[[#Headers],[Final]],budgetCoD[#Headers],0))</f>
        <v>0</v>
      </c>
      <c r="G77" s="60">
        <f ca="1">SUM(budgetProjectPlan[[#This Row],[Milestone 1]:[Final]])</f>
        <v>0</v>
      </c>
      <c r="H77" s="60">
        <f>ROW()-ROW(budgetProjectPlan[#Headers])</f>
        <v>60</v>
      </c>
      <c r="I77" s="60">
        <f>IF(budgetProjectPlan[row] &lt;= numCategories +3, budgetProjectPlan[row]-1, MOD(budgetProjectPlan[row]-1,numCategories+3) + IF(MOD(budgetProjectPlan[row]-2,numCategories+2)&gt;numCategories+1, 1,0))</f>
        <v>4</v>
      </c>
      <c r="J77" s="60">
        <f>IFERROR(INDEX(directors[Last],MAX(1,FLOOR((budgetProjectPlan[row]-1)/(numCategories+3)+1,1))),1)</f>
        <v>0</v>
      </c>
      <c r="L77"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Travel</v>
      </c>
      <c r="M77" s="85">
        <f ca="1">budgetProjectPlan[[#This Row],[Milestone 1]]</f>
        <v>0</v>
      </c>
      <c r="N77" s="85">
        <f ca="1">budgetProjectPlan[[#This Row],[Milestone 2]]</f>
        <v>0</v>
      </c>
      <c r="O77" s="85">
        <f ca="1">budgetProjectPlan[[#This Row],[Milestone 3]]</f>
        <v>0</v>
      </c>
      <c r="P77" s="85">
        <f ca="1">budgetProjectPlan[[#This Row],[Milestone 4]]</f>
        <v>0</v>
      </c>
      <c r="Q77" s="85">
        <f ca="1">budgetProjectPlan[[#This Row],[Final]]</f>
        <v>0</v>
      </c>
      <c r="R77" s="60">
        <f ca="1">SUM(budgetSummary[[#This Row],[Milestone 1]:[Final]])</f>
        <v>0</v>
      </c>
      <c r="S77" s="60">
        <f>ROW()-ROW(budgetSummary[#Headers])</f>
        <v>60</v>
      </c>
      <c r="T77" s="60">
        <f>IF(budgetSummary[row] &lt;= numCategories +3, budgetSummary[row]-1, MOD(budgetSummary[row]-1,numCategories+3) + IF(MOD(budgetSummary[row]-2,numCategories+2)&gt;numCategories+1, 1,0))</f>
        <v>4</v>
      </c>
      <c r="U77" s="60">
        <f>IFERROR(INDEX(directors[Last],MAX(1,FLOOR((budgetSummary[row]-1)/(numCategories+3)+1,1))),1)</f>
        <v>0</v>
      </c>
    </row>
    <row r="78" spans="1:21" ht="15" customHeight="1" x14ac:dyDescent="0.25">
      <c r="A78"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Consumables</v>
      </c>
      <c r="B78" s="60">
        <f ca="1">INDEX(budgetCoD[],MATCH("Subtotal " &amp; budgetProjectPlan[[#This Row],[Category]],budgetCoD[Category],0),MATCH(budgetProjectPlan[[#Headers],[Milestone 1]],budgetCoD[#Headers],0))</f>
        <v>0</v>
      </c>
      <c r="C78" s="60">
        <f ca="1">INDEX(budgetCoD[],MATCH("Subtotal " &amp; budgetProjectPlan[[#This Row],[Category]],budgetCoD[Category],0),MATCH(budgetProjectPlan[[#Headers],[Milestone 2]],budgetCoD[#Headers],0))</f>
        <v>0</v>
      </c>
      <c r="D78" s="60">
        <f ca="1">INDEX(budgetCoD[],MATCH("Subtotal " &amp; budgetProjectPlan[[#This Row],[Category]],budgetCoD[Category],0),MATCH(budgetProjectPlan[[#Headers],[Milestone 3]],budgetCoD[#Headers],0))</f>
        <v>0</v>
      </c>
      <c r="E78" s="60">
        <f ca="1">INDEX(budgetCoD[],MATCH("Subtotal " &amp; budgetProjectPlan[[#This Row],[Category]],budgetCoD[Category],0),MATCH(budgetProjectPlan[[#Headers],[Milestone 4]],budgetCoD[#Headers],0))</f>
        <v>0</v>
      </c>
      <c r="F78" s="60">
        <f ca="1">INDEX(budgetCoD[],MATCH("Subtotal " &amp; budgetProjectPlan[[#This Row],[Category]],budgetCoD[Category],0),MATCH(budgetProjectPlan[[#Headers],[Final]],budgetCoD[#Headers],0))</f>
        <v>0</v>
      </c>
      <c r="G78" s="60">
        <f ca="1">SUM(budgetProjectPlan[[#This Row],[Milestone 1]:[Final]])</f>
        <v>0</v>
      </c>
      <c r="H78" s="60">
        <f>ROW()-ROW(budgetProjectPlan[#Headers])</f>
        <v>61</v>
      </c>
      <c r="I78" s="60">
        <f>IF(budgetProjectPlan[row] &lt;= numCategories +3, budgetProjectPlan[row]-1, MOD(budgetProjectPlan[row]-1,numCategories+3) + IF(MOD(budgetProjectPlan[row]-2,numCategories+2)&gt;numCategories+1, 1,0))</f>
        <v>5</v>
      </c>
      <c r="J78" s="60">
        <f>IFERROR(INDEX(directors[Last],MAX(1,FLOOR((budgetProjectPlan[row]-1)/(numCategories+3)+1,1))),1)</f>
        <v>0</v>
      </c>
      <c r="L78"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Consumables</v>
      </c>
      <c r="M78" s="85">
        <f ca="1">budgetProjectPlan[[#This Row],[Milestone 1]]</f>
        <v>0</v>
      </c>
      <c r="N78" s="85">
        <f ca="1">budgetProjectPlan[[#This Row],[Milestone 2]]</f>
        <v>0</v>
      </c>
      <c r="O78" s="85">
        <f ca="1">budgetProjectPlan[[#This Row],[Milestone 3]]</f>
        <v>0</v>
      </c>
      <c r="P78" s="85">
        <f ca="1">budgetProjectPlan[[#This Row],[Milestone 4]]</f>
        <v>0</v>
      </c>
      <c r="Q78" s="85">
        <f ca="1">budgetProjectPlan[[#This Row],[Final]]</f>
        <v>0</v>
      </c>
      <c r="R78" s="60">
        <f ca="1">SUM(budgetSummary[[#This Row],[Milestone 1]:[Final]])</f>
        <v>0</v>
      </c>
      <c r="S78" s="60">
        <f>ROW()-ROW(budgetSummary[#Headers])</f>
        <v>61</v>
      </c>
      <c r="T78" s="60">
        <f>IF(budgetSummary[row] &lt;= numCategories +3, budgetSummary[row]-1, MOD(budgetSummary[row]-1,numCategories+3) + IF(MOD(budgetSummary[row]-2,numCategories+2)&gt;numCategories+1, 1,0))</f>
        <v>5</v>
      </c>
      <c r="U78" s="60">
        <f>IFERROR(INDEX(directors[Last],MAX(1,FLOOR((budgetSummary[row]-1)/(numCategories+3)+1,1))),1)</f>
        <v>0</v>
      </c>
    </row>
    <row r="79" spans="1:21" ht="15" customHeight="1" x14ac:dyDescent="0.25">
      <c r="A79"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Other</v>
      </c>
      <c r="B79" s="60">
        <f ca="1">INDEX(budgetCoD[],MATCH("Subtotal " &amp; budgetProjectPlan[[#This Row],[Category]],budgetCoD[Category],0),MATCH(budgetProjectPlan[[#Headers],[Milestone 1]],budgetCoD[#Headers],0))</f>
        <v>0</v>
      </c>
      <c r="C79" s="60">
        <f ca="1">INDEX(budgetCoD[],MATCH("Subtotal " &amp; budgetProjectPlan[[#This Row],[Category]],budgetCoD[Category],0),MATCH(budgetProjectPlan[[#Headers],[Milestone 2]],budgetCoD[#Headers],0))</f>
        <v>0</v>
      </c>
      <c r="D79" s="60">
        <f ca="1">INDEX(budgetCoD[],MATCH("Subtotal " &amp; budgetProjectPlan[[#This Row],[Category]],budgetCoD[Category],0),MATCH(budgetProjectPlan[[#Headers],[Milestone 3]],budgetCoD[#Headers],0))</f>
        <v>0</v>
      </c>
      <c r="E79" s="60">
        <f ca="1">INDEX(budgetCoD[],MATCH("Subtotal " &amp; budgetProjectPlan[[#This Row],[Category]],budgetCoD[Category],0),MATCH(budgetProjectPlan[[#Headers],[Milestone 4]],budgetCoD[#Headers],0))</f>
        <v>0</v>
      </c>
      <c r="F79" s="60">
        <f ca="1">INDEX(budgetCoD[],MATCH("Subtotal " &amp; budgetProjectPlan[[#This Row],[Category]],budgetCoD[Category],0),MATCH(budgetProjectPlan[[#Headers],[Final]],budgetCoD[#Headers],0))</f>
        <v>0</v>
      </c>
      <c r="G79" s="60">
        <f ca="1">SUM(budgetProjectPlan[[#This Row],[Milestone 1]:[Final]])</f>
        <v>0</v>
      </c>
      <c r="H79" s="60">
        <f>ROW()-ROW(budgetProjectPlan[#Headers])</f>
        <v>62</v>
      </c>
      <c r="I79" s="60">
        <f>IF(budgetProjectPlan[row] &lt;= numCategories +3, budgetProjectPlan[row]-1, MOD(budgetProjectPlan[row]-1,numCategories+3) + IF(MOD(budgetProjectPlan[row]-2,numCategories+2)&gt;numCategories+1, 1,0))</f>
        <v>6</v>
      </c>
      <c r="J79" s="60">
        <f>IFERROR(INDEX(directors[Last],MAX(1,FLOOR((budgetProjectPlan[row]-1)/(numCategories+3)+1,1))),1)</f>
        <v>0</v>
      </c>
      <c r="L79"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Other</v>
      </c>
      <c r="M79" s="85">
        <f ca="1">budgetProjectPlan[[#This Row],[Milestone 1]]</f>
        <v>0</v>
      </c>
      <c r="N79" s="85">
        <f ca="1">budgetProjectPlan[[#This Row],[Milestone 2]]</f>
        <v>0</v>
      </c>
      <c r="O79" s="85">
        <f ca="1">budgetProjectPlan[[#This Row],[Milestone 3]]</f>
        <v>0</v>
      </c>
      <c r="P79" s="85">
        <f ca="1">budgetProjectPlan[[#This Row],[Milestone 4]]</f>
        <v>0</v>
      </c>
      <c r="Q79" s="85">
        <f ca="1">budgetProjectPlan[[#This Row],[Final]]</f>
        <v>0</v>
      </c>
      <c r="R79" s="60">
        <f ca="1">SUM(budgetSummary[[#This Row],[Milestone 1]:[Final]])</f>
        <v>0</v>
      </c>
      <c r="S79" s="60">
        <f>ROW()-ROW(budgetSummary[#Headers])</f>
        <v>62</v>
      </c>
      <c r="T79" s="60">
        <f>IF(budgetSummary[row] &lt;= numCategories +3, budgetSummary[row]-1, MOD(budgetSummary[row]-1,numCategories+3) + IF(MOD(budgetSummary[row]-2,numCategories+2)&gt;numCategories+1, 1,0))</f>
        <v>6</v>
      </c>
      <c r="U79" s="60">
        <f>IFERROR(INDEX(directors[Last],MAX(1,FLOOR((budgetSummary[row]-1)/(numCategories+3)+1,1))),1)</f>
        <v>0</v>
      </c>
    </row>
    <row r="80" spans="1:21" ht="15" customHeight="1" x14ac:dyDescent="0.25">
      <c r="A80"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Stipends</v>
      </c>
      <c r="B80" s="60">
        <f ca="1">INDEX(budgetCoD[],MATCH("Subtotal " &amp; budgetProjectPlan[[#This Row],[Category]],budgetCoD[Category],0),MATCH(budgetProjectPlan[[#Headers],[Milestone 1]],budgetCoD[#Headers],0))</f>
        <v>0</v>
      </c>
      <c r="C80" s="60">
        <f ca="1">INDEX(budgetCoD[],MATCH("Subtotal " &amp; budgetProjectPlan[[#This Row],[Category]],budgetCoD[Category],0),MATCH(budgetProjectPlan[[#Headers],[Milestone 2]],budgetCoD[#Headers],0))</f>
        <v>0</v>
      </c>
      <c r="D80" s="60">
        <f ca="1">INDEX(budgetCoD[],MATCH("Subtotal " &amp; budgetProjectPlan[[#This Row],[Category]],budgetCoD[Category],0),MATCH(budgetProjectPlan[[#Headers],[Milestone 3]],budgetCoD[#Headers],0))</f>
        <v>0</v>
      </c>
      <c r="E80" s="60">
        <f ca="1">INDEX(budgetCoD[],MATCH("Subtotal " &amp; budgetProjectPlan[[#This Row],[Category]],budgetCoD[Category],0),MATCH(budgetProjectPlan[[#Headers],[Milestone 4]],budgetCoD[#Headers],0))</f>
        <v>0</v>
      </c>
      <c r="F80" s="60">
        <f ca="1">INDEX(budgetCoD[],MATCH("Subtotal " &amp; budgetProjectPlan[[#This Row],[Category]],budgetCoD[Category],0),MATCH(budgetProjectPlan[[#Headers],[Final]],budgetCoD[#Headers],0))</f>
        <v>0</v>
      </c>
      <c r="G80" s="60">
        <f ca="1">SUM(budgetProjectPlan[[#This Row],[Milestone 1]:[Final]])</f>
        <v>0</v>
      </c>
      <c r="H80" s="60">
        <f>ROW()-ROW(budgetProjectPlan[#Headers])</f>
        <v>63</v>
      </c>
      <c r="I80" s="60">
        <f>IF(budgetProjectPlan[row] &lt;= numCategories +3, budgetProjectPlan[row]-1, MOD(budgetProjectPlan[row]-1,numCategories+3) + IF(MOD(budgetProjectPlan[row]-2,numCategories+2)&gt;numCategories+1, 1,0))</f>
        <v>7</v>
      </c>
      <c r="J80" s="60">
        <f>IFERROR(INDEX(directors[Last],MAX(1,FLOOR((budgetProjectPlan[row]-1)/(numCategories+3)+1,1))),1)</f>
        <v>0</v>
      </c>
      <c r="L80"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Stipends</v>
      </c>
      <c r="M80" s="85">
        <f ca="1">budgetProjectPlan[[#This Row],[Milestone 1]]</f>
        <v>0</v>
      </c>
      <c r="N80" s="85">
        <f ca="1">budgetProjectPlan[[#This Row],[Milestone 2]]</f>
        <v>0</v>
      </c>
      <c r="O80" s="85">
        <f ca="1">budgetProjectPlan[[#This Row],[Milestone 3]]</f>
        <v>0</v>
      </c>
      <c r="P80" s="85">
        <f ca="1">budgetProjectPlan[[#This Row],[Milestone 4]]</f>
        <v>0</v>
      </c>
      <c r="Q80" s="85">
        <f ca="1">budgetProjectPlan[[#This Row],[Final]]</f>
        <v>0</v>
      </c>
      <c r="R80" s="60">
        <f ca="1">SUM(budgetSummary[[#This Row],[Milestone 1]:[Final]])</f>
        <v>0</v>
      </c>
      <c r="S80" s="60">
        <f>ROW()-ROW(budgetSummary[#Headers])</f>
        <v>63</v>
      </c>
      <c r="T80" s="60">
        <f>IF(budgetSummary[row] &lt;= numCategories +3, budgetSummary[row]-1, MOD(budgetSummary[row]-1,numCategories+3) + IF(MOD(budgetSummary[row]-2,numCategories+2)&gt;numCategories+1, 1,0))</f>
        <v>7</v>
      </c>
      <c r="U80" s="60">
        <f>IFERROR(INDEX(directors[Last],MAX(1,FLOOR((budgetSummary[row]-1)/(numCategories+3)+1,1))),1)</f>
        <v>0</v>
      </c>
    </row>
    <row r="81" spans="1:21" ht="15" customHeight="1" x14ac:dyDescent="0.25">
      <c r="A81"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Co-financing of personnel</v>
      </c>
      <c r="B81" s="60">
        <f ca="1">INDEX(budgetCoD[],MATCH("Subtotal " &amp; budgetProjectPlan[[#This Row],[Category]],budgetCoD[Category],0),MATCH(budgetProjectPlan[[#Headers],[Milestone 1]],budgetCoD[#Headers],0))</f>
        <v>0</v>
      </c>
      <c r="C81" s="60">
        <f ca="1">INDEX(budgetCoD[],MATCH("Subtotal " &amp; budgetProjectPlan[[#This Row],[Category]],budgetCoD[Category],0),MATCH(budgetProjectPlan[[#Headers],[Milestone 2]],budgetCoD[#Headers],0))</f>
        <v>0</v>
      </c>
      <c r="D81" s="60">
        <f ca="1">INDEX(budgetCoD[],MATCH("Subtotal " &amp; budgetProjectPlan[[#This Row],[Category]],budgetCoD[Category],0),MATCH(budgetProjectPlan[[#Headers],[Milestone 3]],budgetCoD[#Headers],0))</f>
        <v>0</v>
      </c>
      <c r="E81" s="60">
        <f ca="1">INDEX(budgetCoD[],MATCH("Subtotal " &amp; budgetProjectPlan[[#This Row],[Category]],budgetCoD[Category],0),MATCH(budgetProjectPlan[[#Headers],[Milestone 4]],budgetCoD[#Headers],0))</f>
        <v>0</v>
      </c>
      <c r="F81" s="60">
        <f ca="1">INDEX(budgetCoD[],MATCH("Subtotal " &amp; budgetProjectPlan[[#This Row],[Category]],budgetCoD[Category],0),MATCH(budgetProjectPlan[[#Headers],[Final]],budgetCoD[#Headers],0))</f>
        <v>0</v>
      </c>
      <c r="G81" s="60">
        <f ca="1">SUM(budgetProjectPlan[[#This Row],[Milestone 1]:[Final]])</f>
        <v>0</v>
      </c>
      <c r="H81" s="60">
        <f>ROW()-ROW(budgetProjectPlan[#Headers])</f>
        <v>64</v>
      </c>
      <c r="I81" s="60">
        <f>IF(budgetProjectPlan[row] &lt;= numCategories +3, budgetProjectPlan[row]-1, MOD(budgetProjectPlan[row]-1,numCategories+3) + IF(MOD(budgetProjectPlan[row]-2,numCategories+2)&gt;numCategories+1, 1,0))</f>
        <v>8</v>
      </c>
      <c r="J81" s="60">
        <f>IFERROR(INDEX(directors[Last],MAX(1,FLOOR((budgetProjectPlan[row]-1)/(numCategories+3)+1,1))),1)</f>
        <v>0</v>
      </c>
      <c r="L81"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Co-financing of personnel</v>
      </c>
      <c r="M81" s="85">
        <f ca="1">budgetProjectPlan[[#This Row],[Milestone 1]]</f>
        <v>0</v>
      </c>
      <c r="N81" s="85">
        <f ca="1">budgetProjectPlan[[#This Row],[Milestone 2]]</f>
        <v>0</v>
      </c>
      <c r="O81" s="85">
        <f ca="1">budgetProjectPlan[[#This Row],[Milestone 3]]</f>
        <v>0</v>
      </c>
      <c r="P81" s="85">
        <f ca="1">budgetProjectPlan[[#This Row],[Milestone 4]]</f>
        <v>0</v>
      </c>
      <c r="Q81" s="85">
        <f ca="1">budgetProjectPlan[[#This Row],[Final]]</f>
        <v>0</v>
      </c>
      <c r="R81" s="60">
        <f ca="1">SUM(budgetSummary[[#This Row],[Milestone 1]:[Final]])</f>
        <v>0</v>
      </c>
      <c r="S81" s="60">
        <f>ROW()-ROW(budgetSummary[#Headers])</f>
        <v>64</v>
      </c>
      <c r="T81" s="60">
        <f>IF(budgetSummary[row] &lt;= numCategories +3, budgetSummary[row]-1, MOD(budgetSummary[row]-1,numCategories+3) + IF(MOD(budgetSummary[row]-2,numCategories+2)&gt;numCategories+1, 1,0))</f>
        <v>8</v>
      </c>
      <c r="U81" s="60">
        <f>IFERROR(INDEX(directors[Last],MAX(1,FLOOR((budgetSummary[row]-1)/(numCategories+3)+1,1))),1)</f>
        <v>0</v>
      </c>
    </row>
    <row r="82" spans="1:21" ht="15" customHeight="1" x14ac:dyDescent="0.25">
      <c r="A82"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Subtotal 0</v>
      </c>
      <c r="B82" s="60">
        <f ca="1">SUBTOTAL(9,B74:B81)</f>
        <v>0</v>
      </c>
      <c r="C82" s="60">
        <f t="shared" ref="C82:G82" ca="1" si="10">SUBTOTAL(9,C74:C81)</f>
        <v>0</v>
      </c>
      <c r="D82" s="60">
        <f t="shared" ca="1" si="10"/>
        <v>0</v>
      </c>
      <c r="E82" s="60">
        <f t="shared" ca="1" si="10"/>
        <v>0</v>
      </c>
      <c r="F82" s="60">
        <f t="shared" ca="1" si="10"/>
        <v>0</v>
      </c>
      <c r="G82" s="60">
        <f t="shared" ca="1" si="10"/>
        <v>0</v>
      </c>
      <c r="H82" s="60">
        <f>ROW()-ROW(budgetProjectPlan[#Headers])</f>
        <v>65</v>
      </c>
      <c r="I82" s="60">
        <f>IF(budgetProjectPlan[row] &lt;= numCategories +3, budgetProjectPlan[row]-1, MOD(budgetProjectPlan[row]-1,numCategories+3) + IF(MOD(budgetProjectPlan[row]-2,numCategories+2)&gt;numCategories+1, 1,0))</f>
        <v>9</v>
      </c>
      <c r="J82" s="60">
        <f>IFERROR(INDEX(directors[Last],MAX(1,FLOOR((budgetProjectPlan[row]-1)/(numCategories+3)+1,1))),1)</f>
        <v>0</v>
      </c>
      <c r="L82"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Subtotal 0</v>
      </c>
      <c r="M82" s="85">
        <f ca="1">SUBTOTAL(9,M74:M81)</f>
        <v>0</v>
      </c>
      <c r="N82" s="85">
        <f t="shared" ref="N82:R82" ca="1" si="11">SUBTOTAL(9,N74:N81)</f>
        <v>0</v>
      </c>
      <c r="O82" s="85">
        <f t="shared" ca="1" si="11"/>
        <v>0</v>
      </c>
      <c r="P82" s="85">
        <f t="shared" ca="1" si="11"/>
        <v>0</v>
      </c>
      <c r="Q82" s="85">
        <f t="shared" ca="1" si="11"/>
        <v>0</v>
      </c>
      <c r="R82" s="85">
        <f t="shared" ca="1" si="11"/>
        <v>0</v>
      </c>
      <c r="S82" s="60">
        <f>ROW()-ROW(budgetSummary[#Headers])</f>
        <v>65</v>
      </c>
      <c r="T82" s="60">
        <f>IF(budgetSummary[row] &lt;= numCategories +3, budgetSummary[row]-1, MOD(budgetSummary[row]-1,numCategories+3) + IF(MOD(budgetSummary[row]-2,numCategories+2)&gt;numCategories+1, 1,0))</f>
        <v>9</v>
      </c>
      <c r="U82" s="60">
        <f>IFERROR(INDEX(directors[Last],MAX(1,FLOOR((budgetSummary[row]-1)/(numCategories+3)+1,1))),1)</f>
        <v>0</v>
      </c>
    </row>
    <row r="83" spans="1:21" ht="15" customHeight="1" x14ac:dyDescent="0.25">
      <c r="A83"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c>
      <c r="H83" s="60">
        <f>ROW()-ROW(budgetProjectPlan[#Headers])</f>
        <v>66</v>
      </c>
      <c r="I83" s="60">
        <f>IF(budgetProjectPlan[row] &lt;= numCategories +3, budgetProjectPlan[row]-1, MOD(budgetProjectPlan[row]-1,numCategories+3) + IF(MOD(budgetProjectPlan[row]-2,numCategories+2)&gt;numCategories+1, 1,0))</f>
        <v>10</v>
      </c>
      <c r="J83" s="60">
        <f>IFERROR(INDEX(directors[Last],MAX(1,FLOOR((budgetProjectPlan[row]-1)/(numCategories+3)+1,1))),1)</f>
        <v>0</v>
      </c>
      <c r="L83"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c>
      <c r="M83" s="85"/>
      <c r="N83" s="85"/>
      <c r="O83" s="85"/>
      <c r="P83" s="85"/>
      <c r="Q83" s="85"/>
      <c r="S83" s="60">
        <f>ROW()-ROW(budgetSummary[#Headers])</f>
        <v>66</v>
      </c>
      <c r="T83" s="60">
        <f>IF(budgetSummary[row] &lt;= numCategories +3, budgetSummary[row]-1, MOD(budgetSummary[row]-1,numCategories+3) + IF(MOD(budgetSummary[row]-2,numCategories+2)&gt;numCategories+1, 1,0))</f>
        <v>10</v>
      </c>
      <c r="U83" s="60">
        <f>IFERROR(INDEX(directors[Last],MAX(1,FLOOR((budgetSummary[row]-1)/(numCategories+3)+1,1))),1)</f>
        <v>0</v>
      </c>
    </row>
    <row r="84" spans="1:21" ht="15" customHeight="1" x14ac:dyDescent="0.25">
      <c r="A84"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xml:space="preserve">0 / </v>
      </c>
      <c r="H84" s="60">
        <f>ROW()-ROW(budgetProjectPlan[#Headers])</f>
        <v>67</v>
      </c>
      <c r="I84" s="60">
        <f>IF(budgetProjectPlan[row] &lt;= numCategories +3, budgetProjectPlan[row]-1, MOD(budgetProjectPlan[row]-1,numCategories+3) + IF(MOD(budgetProjectPlan[row]-2,numCategories+2)&gt;numCategories+1, 1,0))</f>
        <v>0</v>
      </c>
      <c r="J84" s="60">
        <f>IFERROR(INDEX(directors[Last],MAX(1,FLOOR((budgetProjectPlan[row]-1)/(numCategories+3)+1,1))),1)</f>
        <v>0</v>
      </c>
      <c r="L84"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xml:space="preserve">0 / </v>
      </c>
      <c r="M84" s="85"/>
      <c r="N84" s="85"/>
      <c r="O84" s="85"/>
      <c r="P84" s="85"/>
      <c r="Q84" s="85"/>
      <c r="S84" s="60">
        <f>ROW()-ROW(budgetSummary[#Headers])</f>
        <v>67</v>
      </c>
      <c r="T84" s="60">
        <f>IF(budgetSummary[row] &lt;= numCategories +3, budgetSummary[row]-1, MOD(budgetSummary[row]-1,numCategories+3) + IF(MOD(budgetSummary[row]-2,numCategories+2)&gt;numCategories+1, 1,0))</f>
        <v>0</v>
      </c>
      <c r="U84" s="60">
        <f>IFERROR(INDEX(directors[Last],MAX(1,FLOOR((budgetSummary[row]-1)/(numCategories+3)+1,1))),1)</f>
        <v>0</v>
      </c>
    </row>
    <row r="85" spans="1:21" ht="15" customHeight="1" x14ac:dyDescent="0.25">
      <c r="A85"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Equipment</v>
      </c>
      <c r="B85" s="60">
        <f ca="1">INDEX(budgetCoE[],MATCH("Subtotal " &amp; budgetProjectPlan[[#This Row],[Category]],budgetCoE[Category],0),MATCH(budgetProjectPlan[[#Headers],[Milestone 1]],budgetCoE[#Headers],0))</f>
        <v>0</v>
      </c>
      <c r="C85" s="60">
        <f ca="1">INDEX(budgetCoE[],MATCH("Subtotal " &amp; budgetProjectPlan[[#This Row],[Category]],budgetCoE[Category],0),MATCH(budgetProjectPlan[[#Headers],[Milestone 2]],budgetCoE[#Headers],0))</f>
        <v>0</v>
      </c>
      <c r="D85" s="60">
        <f ca="1">INDEX(budgetCoE[],MATCH("Subtotal " &amp; budgetProjectPlan[[#This Row],[Category]],budgetCoE[Category],0),MATCH(budgetProjectPlan[[#Headers],[Milestone 3]],budgetCoE[#Headers],0))</f>
        <v>0</v>
      </c>
      <c r="E85" s="60">
        <f ca="1">INDEX(budgetCoE[],MATCH("Subtotal " &amp; budgetProjectPlan[[#This Row],[Category]],budgetCoE[Category],0),MATCH(budgetProjectPlan[[#Headers],[Milestone 4]],budgetCoE[#Headers],0))</f>
        <v>0</v>
      </c>
      <c r="F85" s="60">
        <f ca="1">INDEX(budgetCoE[],MATCH("Subtotal " &amp; budgetProjectPlan[[#This Row],[Category]],budgetCoE[Category],0),MATCH(budgetProjectPlan[[#Headers],[Final]],budgetCoE[#Headers],0))</f>
        <v>0</v>
      </c>
      <c r="G85" s="60">
        <f ca="1">SUM(budgetProjectPlan[[#This Row],[Milestone 1]:[Final]])</f>
        <v>0</v>
      </c>
      <c r="H85" s="60">
        <f>ROW()-ROW(budgetProjectPlan[#Headers])</f>
        <v>68</v>
      </c>
      <c r="I85" s="60">
        <f>IF(budgetProjectPlan[row] &lt;= numCategories +3, budgetProjectPlan[row]-1, MOD(budgetProjectPlan[row]-1,numCategories+3) + IF(MOD(budgetProjectPlan[row]-2,numCategories+2)&gt;numCategories+1, 1,0))</f>
        <v>1</v>
      </c>
      <c r="J85" s="60">
        <f>IFERROR(INDEX(directors[Last],MAX(1,FLOOR((budgetProjectPlan[row]-1)/(numCategories+3)+1,1))),1)</f>
        <v>0</v>
      </c>
      <c r="L85"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Equipment</v>
      </c>
      <c r="M85" s="85">
        <f ca="1">budgetProjectPlan[[#This Row],[Milestone 1]]</f>
        <v>0</v>
      </c>
      <c r="N85" s="85">
        <f ca="1">budgetProjectPlan[[#This Row],[Milestone 2]]</f>
        <v>0</v>
      </c>
      <c r="O85" s="85">
        <f ca="1">budgetProjectPlan[[#This Row],[Milestone 3]]</f>
        <v>0</v>
      </c>
      <c r="P85" s="85">
        <f ca="1">budgetProjectPlan[[#This Row],[Milestone 4]]</f>
        <v>0</v>
      </c>
      <c r="Q85" s="85">
        <f ca="1">budgetProjectPlan[[#This Row],[Final]]</f>
        <v>0</v>
      </c>
      <c r="R85" s="60">
        <f ca="1">SUM(budgetSummary[[#This Row],[Milestone 1]:[Final]])</f>
        <v>0</v>
      </c>
      <c r="S85" s="60">
        <f>ROW()-ROW(budgetSummary[#Headers])</f>
        <v>68</v>
      </c>
      <c r="T85" s="60">
        <f>IF(budgetSummary[row] &lt;= numCategories +3, budgetSummary[row]-1, MOD(budgetSummary[row]-1,numCategories+3) + IF(MOD(budgetSummary[row]-2,numCategories+2)&gt;numCategories+1, 1,0))</f>
        <v>1</v>
      </c>
      <c r="U85" s="60">
        <f>IFERROR(INDEX(directors[Last],MAX(1,FLOOR((budgetSummary[row]-1)/(numCategories+3)+1,1))),1)</f>
        <v>0</v>
      </c>
    </row>
    <row r="86" spans="1:21" ht="15" customHeight="1" x14ac:dyDescent="0.25">
      <c r="A86"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Training</v>
      </c>
      <c r="B86" s="60">
        <f ca="1">INDEX(budgetCoE[],MATCH("Subtotal " &amp; budgetProjectPlan[[#This Row],[Category]],budgetCoE[Category],0),MATCH(budgetProjectPlan[[#Headers],[Milestone 1]],budgetCoE[#Headers],0))</f>
        <v>0</v>
      </c>
      <c r="C86" s="60">
        <f ca="1">INDEX(budgetCoE[],MATCH("Subtotal " &amp; budgetProjectPlan[[#This Row],[Category]],budgetCoE[Category],0),MATCH(budgetProjectPlan[[#Headers],[Milestone 2]],budgetCoE[#Headers],0))</f>
        <v>0</v>
      </c>
      <c r="D86" s="60">
        <f ca="1">INDEX(budgetCoE[],MATCH("Subtotal " &amp; budgetProjectPlan[[#This Row],[Category]],budgetCoE[Category],0),MATCH(budgetProjectPlan[[#Headers],[Milestone 3]],budgetCoE[#Headers],0))</f>
        <v>0</v>
      </c>
      <c r="E86" s="60">
        <f ca="1">INDEX(budgetCoE[],MATCH("Subtotal " &amp; budgetProjectPlan[[#This Row],[Category]],budgetCoE[Category],0),MATCH(budgetProjectPlan[[#Headers],[Milestone 4]],budgetCoE[#Headers],0))</f>
        <v>0</v>
      </c>
      <c r="F86" s="60">
        <f ca="1">INDEX(budgetCoE[],MATCH("Subtotal " &amp; budgetProjectPlan[[#This Row],[Category]],budgetCoE[Category],0),MATCH(budgetProjectPlan[[#Headers],[Final]],budgetCoE[#Headers],0))</f>
        <v>0</v>
      </c>
      <c r="G86" s="60">
        <f ca="1">SUM(budgetProjectPlan[[#This Row],[Milestone 1]:[Final]])</f>
        <v>0</v>
      </c>
      <c r="H86" s="60">
        <f>ROW()-ROW(budgetProjectPlan[#Headers])</f>
        <v>69</v>
      </c>
      <c r="I86" s="60">
        <f>IF(budgetProjectPlan[row] &lt;= numCategories +3, budgetProjectPlan[row]-1, MOD(budgetProjectPlan[row]-1,numCategories+3) + IF(MOD(budgetProjectPlan[row]-2,numCategories+2)&gt;numCategories+1, 1,0))</f>
        <v>2</v>
      </c>
      <c r="J86" s="60">
        <f>IFERROR(INDEX(directors[Last],MAX(1,FLOOR((budgetProjectPlan[row]-1)/(numCategories+3)+1,1))),1)</f>
        <v>0</v>
      </c>
      <c r="L86"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Training</v>
      </c>
      <c r="M86" s="85">
        <f ca="1">budgetProjectPlan[[#This Row],[Milestone 1]]</f>
        <v>0</v>
      </c>
      <c r="N86" s="85">
        <f ca="1">budgetProjectPlan[[#This Row],[Milestone 2]]</f>
        <v>0</v>
      </c>
      <c r="O86" s="85">
        <f ca="1">budgetProjectPlan[[#This Row],[Milestone 3]]</f>
        <v>0</v>
      </c>
      <c r="P86" s="85">
        <f ca="1">budgetProjectPlan[[#This Row],[Milestone 4]]</f>
        <v>0</v>
      </c>
      <c r="Q86" s="85">
        <f ca="1">budgetProjectPlan[[#This Row],[Final]]</f>
        <v>0</v>
      </c>
      <c r="R86" s="60">
        <f ca="1">SUM(budgetSummary[[#This Row],[Milestone 1]:[Final]])</f>
        <v>0</v>
      </c>
      <c r="S86" s="60">
        <f>ROW()-ROW(budgetSummary[#Headers])</f>
        <v>69</v>
      </c>
      <c r="T86" s="60">
        <f>IF(budgetSummary[row] &lt;= numCategories +3, budgetSummary[row]-1, MOD(budgetSummary[row]-1,numCategories+3) + IF(MOD(budgetSummary[row]-2,numCategories+2)&gt;numCategories+1, 1,0))</f>
        <v>2</v>
      </c>
      <c r="U86" s="60">
        <f>IFERROR(INDEX(directors[Last],MAX(1,FLOOR((budgetSummary[row]-1)/(numCategories+3)+1,1))),1)</f>
        <v>0</v>
      </c>
    </row>
    <row r="87" spans="1:21" ht="15" customHeight="1" x14ac:dyDescent="0.25">
      <c r="A87"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Communication &amp; Publication</v>
      </c>
      <c r="B87" s="60">
        <f>INDEX(budgetCoE[],MATCH("Subtotal " &amp; budgetProjectPlan[[#This Row],[Category]],budgetCoE[Category],0),MATCH(budgetProjectPlan[[#Headers],[Milestone 1]],budgetCoE[#Headers],0))</f>
        <v>0</v>
      </c>
      <c r="C87" s="60">
        <f>INDEX(budgetCoE[],MATCH("Subtotal " &amp; budgetProjectPlan[[#This Row],[Category]],budgetCoE[Category],0),MATCH(budgetProjectPlan[[#Headers],[Milestone 2]],budgetCoE[#Headers],0))</f>
        <v>0</v>
      </c>
      <c r="D87" s="60">
        <f>INDEX(budgetCoE[],MATCH("Subtotal " &amp; budgetProjectPlan[[#This Row],[Category]],budgetCoE[Category],0),MATCH(budgetProjectPlan[[#Headers],[Milestone 3]],budgetCoE[#Headers],0))</f>
        <v>0</v>
      </c>
      <c r="E87" s="60">
        <f>INDEX(budgetCoE[],MATCH("Subtotal " &amp; budgetProjectPlan[[#This Row],[Category]],budgetCoE[Category],0),MATCH(budgetProjectPlan[[#Headers],[Milestone 4]],budgetCoE[#Headers],0))</f>
        <v>0</v>
      </c>
      <c r="F87" s="60">
        <f>INDEX(budgetCoE[],MATCH("Subtotal " &amp; budgetProjectPlan[[#This Row],[Category]],budgetCoE[Category],0),MATCH(budgetProjectPlan[[#Headers],[Final]],budgetCoE[#Headers],0))</f>
        <v>0</v>
      </c>
      <c r="G87" s="60">
        <f>SUM(budgetProjectPlan[[#This Row],[Milestone 1]:[Final]])</f>
        <v>0</v>
      </c>
      <c r="H87" s="60">
        <f>ROW()-ROW(budgetProjectPlan[#Headers])</f>
        <v>70</v>
      </c>
      <c r="I87" s="60">
        <f>IF(budgetProjectPlan[row] &lt;= numCategories +3, budgetProjectPlan[row]-1, MOD(budgetProjectPlan[row]-1,numCategories+3) + IF(MOD(budgetProjectPlan[row]-2,numCategories+2)&gt;numCategories+1, 1,0))</f>
        <v>3</v>
      </c>
      <c r="J87" s="60">
        <f>IFERROR(INDEX(directors[Last],MAX(1,FLOOR((budgetProjectPlan[row]-1)/(numCategories+3)+1,1))),1)</f>
        <v>0</v>
      </c>
      <c r="L87"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Communication &amp; Publication</v>
      </c>
      <c r="M87" s="85">
        <f>budgetProjectPlan[[#This Row],[Milestone 1]]</f>
        <v>0</v>
      </c>
      <c r="N87" s="85">
        <f>budgetProjectPlan[[#This Row],[Milestone 2]]</f>
        <v>0</v>
      </c>
      <c r="O87" s="85">
        <f>budgetProjectPlan[[#This Row],[Milestone 3]]</f>
        <v>0</v>
      </c>
      <c r="P87" s="85">
        <f>budgetProjectPlan[[#This Row],[Milestone 4]]</f>
        <v>0</v>
      </c>
      <c r="Q87" s="85">
        <f>budgetProjectPlan[[#This Row],[Final]]</f>
        <v>0</v>
      </c>
      <c r="R87" s="60">
        <f>SUM(budgetSummary[[#This Row],[Milestone 1]:[Final]])</f>
        <v>0</v>
      </c>
      <c r="S87" s="60">
        <f>ROW()-ROW(budgetSummary[#Headers])</f>
        <v>70</v>
      </c>
      <c r="T87" s="60">
        <f>IF(budgetSummary[row] &lt;= numCategories +3, budgetSummary[row]-1, MOD(budgetSummary[row]-1,numCategories+3) + IF(MOD(budgetSummary[row]-2,numCategories+2)&gt;numCategories+1, 1,0))</f>
        <v>3</v>
      </c>
      <c r="U87" s="60">
        <f>IFERROR(INDEX(directors[Last],MAX(1,FLOOR((budgetSummary[row]-1)/(numCategories+3)+1,1))),1)</f>
        <v>0</v>
      </c>
    </row>
    <row r="88" spans="1:21" ht="15" customHeight="1" x14ac:dyDescent="0.25">
      <c r="A88"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Travel</v>
      </c>
      <c r="B88" s="60">
        <f ca="1">INDEX(budgetCoE[],MATCH("Subtotal " &amp; budgetProjectPlan[[#This Row],[Category]],budgetCoE[Category],0),MATCH(budgetProjectPlan[[#Headers],[Milestone 1]],budgetCoE[#Headers],0))</f>
        <v>0</v>
      </c>
      <c r="C88" s="60">
        <f ca="1">INDEX(budgetCoE[],MATCH("Subtotal " &amp; budgetProjectPlan[[#This Row],[Category]],budgetCoE[Category],0),MATCH(budgetProjectPlan[[#Headers],[Milestone 2]],budgetCoE[#Headers],0))</f>
        <v>0</v>
      </c>
      <c r="D88" s="60">
        <f ca="1">INDEX(budgetCoE[],MATCH("Subtotal " &amp; budgetProjectPlan[[#This Row],[Category]],budgetCoE[Category],0),MATCH(budgetProjectPlan[[#Headers],[Milestone 3]],budgetCoE[#Headers],0))</f>
        <v>0</v>
      </c>
      <c r="E88" s="60">
        <f ca="1">INDEX(budgetCoE[],MATCH("Subtotal " &amp; budgetProjectPlan[[#This Row],[Category]],budgetCoE[Category],0),MATCH(budgetProjectPlan[[#Headers],[Milestone 4]],budgetCoE[#Headers],0))</f>
        <v>0</v>
      </c>
      <c r="F88" s="60">
        <f ca="1">INDEX(budgetCoE[],MATCH("Subtotal " &amp; budgetProjectPlan[[#This Row],[Category]],budgetCoE[Category],0),MATCH(budgetProjectPlan[[#Headers],[Final]],budgetCoE[#Headers],0))</f>
        <v>0</v>
      </c>
      <c r="G88" s="60">
        <f ca="1">SUM(budgetProjectPlan[[#This Row],[Milestone 1]:[Final]])</f>
        <v>0</v>
      </c>
      <c r="H88" s="60">
        <f>ROW()-ROW(budgetProjectPlan[#Headers])</f>
        <v>71</v>
      </c>
      <c r="I88" s="60">
        <f>IF(budgetProjectPlan[row] &lt;= numCategories +3, budgetProjectPlan[row]-1, MOD(budgetProjectPlan[row]-1,numCategories+3) + IF(MOD(budgetProjectPlan[row]-2,numCategories+2)&gt;numCategories+1, 1,0))</f>
        <v>4</v>
      </c>
      <c r="J88" s="60">
        <f>IFERROR(INDEX(directors[Last],MAX(1,FLOOR((budgetProjectPlan[row]-1)/(numCategories+3)+1,1))),1)</f>
        <v>0</v>
      </c>
      <c r="L88"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Travel</v>
      </c>
      <c r="M88" s="85">
        <f ca="1">budgetProjectPlan[[#This Row],[Milestone 1]]</f>
        <v>0</v>
      </c>
      <c r="N88" s="85">
        <f ca="1">budgetProjectPlan[[#This Row],[Milestone 2]]</f>
        <v>0</v>
      </c>
      <c r="O88" s="85">
        <f ca="1">budgetProjectPlan[[#This Row],[Milestone 3]]</f>
        <v>0</v>
      </c>
      <c r="P88" s="85">
        <f ca="1">budgetProjectPlan[[#This Row],[Milestone 4]]</f>
        <v>0</v>
      </c>
      <c r="Q88" s="85">
        <f ca="1">budgetProjectPlan[[#This Row],[Final]]</f>
        <v>0</v>
      </c>
      <c r="R88" s="60">
        <f ca="1">SUM(budgetSummary[[#This Row],[Milestone 1]:[Final]])</f>
        <v>0</v>
      </c>
      <c r="S88" s="60">
        <f>ROW()-ROW(budgetSummary[#Headers])</f>
        <v>71</v>
      </c>
      <c r="T88" s="60">
        <f>IF(budgetSummary[row] &lt;= numCategories +3, budgetSummary[row]-1, MOD(budgetSummary[row]-1,numCategories+3) + IF(MOD(budgetSummary[row]-2,numCategories+2)&gt;numCategories+1, 1,0))</f>
        <v>4</v>
      </c>
      <c r="U88" s="60">
        <f>IFERROR(INDEX(directors[Last],MAX(1,FLOOR((budgetSummary[row]-1)/(numCategories+3)+1,1))),1)</f>
        <v>0</v>
      </c>
    </row>
    <row r="89" spans="1:21" ht="15" customHeight="1" x14ac:dyDescent="0.25">
      <c r="A89"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Consumables</v>
      </c>
      <c r="B89" s="60">
        <f ca="1">INDEX(budgetCoE[],MATCH("Subtotal " &amp; budgetProjectPlan[[#This Row],[Category]],budgetCoE[Category],0),MATCH(budgetProjectPlan[[#Headers],[Milestone 1]],budgetCoE[#Headers],0))</f>
        <v>0</v>
      </c>
      <c r="C89" s="60">
        <f ca="1">INDEX(budgetCoE[],MATCH("Subtotal " &amp; budgetProjectPlan[[#This Row],[Category]],budgetCoE[Category],0),MATCH(budgetProjectPlan[[#Headers],[Milestone 2]],budgetCoE[#Headers],0))</f>
        <v>0</v>
      </c>
      <c r="D89" s="60">
        <f ca="1">INDEX(budgetCoE[],MATCH("Subtotal " &amp; budgetProjectPlan[[#This Row],[Category]],budgetCoE[Category],0),MATCH(budgetProjectPlan[[#Headers],[Milestone 3]],budgetCoE[#Headers],0))</f>
        <v>0</v>
      </c>
      <c r="E89" s="60">
        <f ca="1">INDEX(budgetCoE[],MATCH("Subtotal " &amp; budgetProjectPlan[[#This Row],[Category]],budgetCoE[Category],0),MATCH(budgetProjectPlan[[#Headers],[Milestone 4]],budgetCoE[#Headers],0))</f>
        <v>0</v>
      </c>
      <c r="F89" s="60">
        <f ca="1">INDEX(budgetCoE[],MATCH("Subtotal " &amp; budgetProjectPlan[[#This Row],[Category]],budgetCoE[Category],0),MATCH(budgetProjectPlan[[#Headers],[Final]],budgetCoE[#Headers],0))</f>
        <v>0</v>
      </c>
      <c r="G89" s="60">
        <f ca="1">SUM(budgetProjectPlan[[#This Row],[Milestone 1]:[Final]])</f>
        <v>0</v>
      </c>
      <c r="H89" s="60">
        <f>ROW()-ROW(budgetProjectPlan[#Headers])</f>
        <v>72</v>
      </c>
      <c r="I89" s="60">
        <f>IF(budgetProjectPlan[row] &lt;= numCategories +3, budgetProjectPlan[row]-1, MOD(budgetProjectPlan[row]-1,numCategories+3) + IF(MOD(budgetProjectPlan[row]-2,numCategories+2)&gt;numCategories+1, 1,0))</f>
        <v>5</v>
      </c>
      <c r="J89" s="60">
        <f>IFERROR(INDEX(directors[Last],MAX(1,FLOOR((budgetProjectPlan[row]-1)/(numCategories+3)+1,1))),1)</f>
        <v>0</v>
      </c>
      <c r="L89"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Consumables</v>
      </c>
      <c r="M89" s="85">
        <f ca="1">budgetProjectPlan[[#This Row],[Milestone 1]]</f>
        <v>0</v>
      </c>
      <c r="N89" s="85">
        <f ca="1">budgetProjectPlan[[#This Row],[Milestone 2]]</f>
        <v>0</v>
      </c>
      <c r="O89" s="85">
        <f ca="1">budgetProjectPlan[[#This Row],[Milestone 3]]</f>
        <v>0</v>
      </c>
      <c r="P89" s="85">
        <f ca="1">budgetProjectPlan[[#This Row],[Milestone 4]]</f>
        <v>0</v>
      </c>
      <c r="Q89" s="85">
        <f ca="1">budgetProjectPlan[[#This Row],[Final]]</f>
        <v>0</v>
      </c>
      <c r="R89" s="60">
        <f ca="1">SUM(budgetSummary[[#This Row],[Milestone 1]:[Final]])</f>
        <v>0</v>
      </c>
      <c r="S89" s="60">
        <f>ROW()-ROW(budgetSummary[#Headers])</f>
        <v>72</v>
      </c>
      <c r="T89" s="60">
        <f>IF(budgetSummary[row] &lt;= numCategories +3, budgetSummary[row]-1, MOD(budgetSummary[row]-1,numCategories+3) + IF(MOD(budgetSummary[row]-2,numCategories+2)&gt;numCategories+1, 1,0))</f>
        <v>5</v>
      </c>
      <c r="U89" s="60">
        <f>IFERROR(INDEX(directors[Last],MAX(1,FLOOR((budgetSummary[row]-1)/(numCategories+3)+1,1))),1)</f>
        <v>0</v>
      </c>
    </row>
    <row r="90" spans="1:21" ht="15" customHeight="1" x14ac:dyDescent="0.25">
      <c r="A90"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Other</v>
      </c>
      <c r="B90" s="60">
        <f ca="1">INDEX(budgetCoE[],MATCH("Subtotal " &amp; budgetProjectPlan[[#This Row],[Category]],budgetCoE[Category],0),MATCH(budgetProjectPlan[[#Headers],[Milestone 1]],budgetCoE[#Headers],0))</f>
        <v>0</v>
      </c>
      <c r="C90" s="60">
        <f ca="1">INDEX(budgetCoE[],MATCH("Subtotal " &amp; budgetProjectPlan[[#This Row],[Category]],budgetCoE[Category],0),MATCH(budgetProjectPlan[[#Headers],[Milestone 2]],budgetCoE[#Headers],0))</f>
        <v>0</v>
      </c>
      <c r="D90" s="60">
        <f ca="1">INDEX(budgetCoE[],MATCH("Subtotal " &amp; budgetProjectPlan[[#This Row],[Category]],budgetCoE[Category],0),MATCH(budgetProjectPlan[[#Headers],[Milestone 3]],budgetCoE[#Headers],0))</f>
        <v>0</v>
      </c>
      <c r="E90" s="60">
        <f ca="1">INDEX(budgetCoE[],MATCH("Subtotal " &amp; budgetProjectPlan[[#This Row],[Category]],budgetCoE[Category],0),MATCH(budgetProjectPlan[[#Headers],[Milestone 4]],budgetCoE[#Headers],0))</f>
        <v>0</v>
      </c>
      <c r="F90" s="60">
        <f ca="1">INDEX(budgetCoE[],MATCH("Subtotal " &amp; budgetProjectPlan[[#This Row],[Category]],budgetCoE[Category],0),MATCH(budgetProjectPlan[[#Headers],[Final]],budgetCoE[#Headers],0))</f>
        <v>0</v>
      </c>
      <c r="G90" s="60">
        <f ca="1">SUM(budgetProjectPlan[[#This Row],[Milestone 1]:[Final]])</f>
        <v>0</v>
      </c>
      <c r="H90" s="60">
        <f>ROW()-ROW(budgetProjectPlan[#Headers])</f>
        <v>73</v>
      </c>
      <c r="I90" s="60">
        <f>IF(budgetProjectPlan[row] &lt;= numCategories +3, budgetProjectPlan[row]-1, MOD(budgetProjectPlan[row]-1,numCategories+3) + IF(MOD(budgetProjectPlan[row]-2,numCategories+2)&gt;numCategories+1, 1,0))</f>
        <v>6</v>
      </c>
      <c r="J90" s="60">
        <f>IFERROR(INDEX(directors[Last],MAX(1,FLOOR((budgetProjectPlan[row]-1)/(numCategories+3)+1,1))),1)</f>
        <v>0</v>
      </c>
      <c r="L90"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Other</v>
      </c>
      <c r="M90" s="85">
        <f ca="1">budgetProjectPlan[[#This Row],[Milestone 1]]</f>
        <v>0</v>
      </c>
      <c r="N90" s="85">
        <f ca="1">budgetProjectPlan[[#This Row],[Milestone 2]]</f>
        <v>0</v>
      </c>
      <c r="O90" s="85">
        <f ca="1">budgetProjectPlan[[#This Row],[Milestone 3]]</f>
        <v>0</v>
      </c>
      <c r="P90" s="85">
        <f ca="1">budgetProjectPlan[[#This Row],[Milestone 4]]</f>
        <v>0</v>
      </c>
      <c r="Q90" s="85">
        <f ca="1">budgetProjectPlan[[#This Row],[Final]]</f>
        <v>0</v>
      </c>
      <c r="R90" s="60">
        <f ca="1">SUM(budgetSummary[[#This Row],[Milestone 1]:[Final]])</f>
        <v>0</v>
      </c>
      <c r="S90" s="60">
        <f>ROW()-ROW(budgetSummary[#Headers])</f>
        <v>73</v>
      </c>
      <c r="T90" s="60">
        <f>IF(budgetSummary[row] &lt;= numCategories +3, budgetSummary[row]-1, MOD(budgetSummary[row]-1,numCategories+3) + IF(MOD(budgetSummary[row]-2,numCategories+2)&gt;numCategories+1, 1,0))</f>
        <v>6</v>
      </c>
      <c r="U90" s="60">
        <f>IFERROR(INDEX(directors[Last],MAX(1,FLOOR((budgetSummary[row]-1)/(numCategories+3)+1,1))),1)</f>
        <v>0</v>
      </c>
    </row>
    <row r="91" spans="1:21" ht="15" customHeight="1" x14ac:dyDescent="0.25">
      <c r="A91"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Stipends</v>
      </c>
      <c r="B91" s="60">
        <f ca="1">INDEX(budgetCoE[],MATCH("Subtotal " &amp; budgetProjectPlan[[#This Row],[Category]],budgetCoE[Category],0),MATCH(budgetProjectPlan[[#Headers],[Milestone 1]],budgetCoE[#Headers],0))</f>
        <v>0</v>
      </c>
      <c r="C91" s="60">
        <f ca="1">INDEX(budgetCoE[],MATCH("Subtotal " &amp; budgetProjectPlan[[#This Row],[Category]],budgetCoE[Category],0),MATCH(budgetProjectPlan[[#Headers],[Milestone 2]],budgetCoE[#Headers],0))</f>
        <v>0</v>
      </c>
      <c r="D91" s="60">
        <f ca="1">INDEX(budgetCoE[],MATCH("Subtotal " &amp; budgetProjectPlan[[#This Row],[Category]],budgetCoE[Category],0),MATCH(budgetProjectPlan[[#Headers],[Milestone 3]],budgetCoE[#Headers],0))</f>
        <v>0</v>
      </c>
      <c r="E91" s="60">
        <f ca="1">INDEX(budgetCoE[],MATCH("Subtotal " &amp; budgetProjectPlan[[#This Row],[Category]],budgetCoE[Category],0),MATCH(budgetProjectPlan[[#Headers],[Milestone 4]],budgetCoE[#Headers],0))</f>
        <v>0</v>
      </c>
      <c r="F91" s="60">
        <f ca="1">INDEX(budgetCoE[],MATCH("Subtotal " &amp; budgetProjectPlan[[#This Row],[Category]],budgetCoE[Category],0),MATCH(budgetProjectPlan[[#Headers],[Final]],budgetCoE[#Headers],0))</f>
        <v>0</v>
      </c>
      <c r="G91" s="60">
        <f ca="1">SUM(budgetProjectPlan[[#This Row],[Milestone 1]:[Final]])</f>
        <v>0</v>
      </c>
      <c r="H91" s="60">
        <f>ROW()-ROW(budgetProjectPlan[#Headers])</f>
        <v>74</v>
      </c>
      <c r="I91" s="60">
        <f>IF(budgetProjectPlan[row] &lt;= numCategories +3, budgetProjectPlan[row]-1, MOD(budgetProjectPlan[row]-1,numCategories+3) + IF(MOD(budgetProjectPlan[row]-2,numCategories+2)&gt;numCategories+1, 1,0))</f>
        <v>7</v>
      </c>
      <c r="J91" s="60">
        <f>IFERROR(INDEX(directors[Last],MAX(1,FLOOR((budgetProjectPlan[row]-1)/(numCategories+3)+1,1))),1)</f>
        <v>0</v>
      </c>
      <c r="L91"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Stipends</v>
      </c>
      <c r="M91" s="85">
        <f ca="1">budgetProjectPlan[[#This Row],[Milestone 1]]</f>
        <v>0</v>
      </c>
      <c r="N91" s="85">
        <f ca="1">budgetProjectPlan[[#This Row],[Milestone 2]]</f>
        <v>0</v>
      </c>
      <c r="O91" s="85">
        <f ca="1">budgetProjectPlan[[#This Row],[Milestone 3]]</f>
        <v>0</v>
      </c>
      <c r="P91" s="85">
        <f ca="1">budgetProjectPlan[[#This Row],[Milestone 4]]</f>
        <v>0</v>
      </c>
      <c r="Q91" s="85">
        <f ca="1">budgetProjectPlan[[#This Row],[Final]]</f>
        <v>0</v>
      </c>
      <c r="R91" s="60">
        <f ca="1">SUM(budgetSummary[[#This Row],[Milestone 1]:[Final]])</f>
        <v>0</v>
      </c>
      <c r="S91" s="60">
        <f>ROW()-ROW(budgetSummary[#Headers])</f>
        <v>74</v>
      </c>
      <c r="T91" s="60">
        <f>IF(budgetSummary[row] &lt;= numCategories +3, budgetSummary[row]-1, MOD(budgetSummary[row]-1,numCategories+3) + IF(MOD(budgetSummary[row]-2,numCategories+2)&gt;numCategories+1, 1,0))</f>
        <v>7</v>
      </c>
      <c r="U91" s="60">
        <f>IFERROR(INDEX(directors[Last],MAX(1,FLOOR((budgetSummary[row]-1)/(numCategories+3)+1,1))),1)</f>
        <v>0</v>
      </c>
    </row>
    <row r="92" spans="1:21" ht="15" customHeight="1" x14ac:dyDescent="0.25">
      <c r="A92"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Co-financing of personnel</v>
      </c>
      <c r="B92" s="60">
        <f ca="1">INDEX(budgetCoE[],MATCH("Subtotal " &amp; budgetProjectPlan[[#This Row],[Category]],budgetCoE[Category],0),MATCH(budgetProjectPlan[[#Headers],[Milestone 1]],budgetCoE[#Headers],0))</f>
        <v>0</v>
      </c>
      <c r="C92" s="60">
        <f ca="1">INDEX(budgetCoE[],MATCH("Subtotal " &amp; budgetProjectPlan[[#This Row],[Category]],budgetCoE[Category],0),MATCH(budgetProjectPlan[[#Headers],[Milestone 2]],budgetCoE[#Headers],0))</f>
        <v>0</v>
      </c>
      <c r="D92" s="60">
        <f ca="1">INDEX(budgetCoE[],MATCH("Subtotal " &amp; budgetProjectPlan[[#This Row],[Category]],budgetCoE[Category],0),MATCH(budgetProjectPlan[[#Headers],[Milestone 3]],budgetCoE[#Headers],0))</f>
        <v>0</v>
      </c>
      <c r="E92" s="60">
        <f ca="1">INDEX(budgetCoE[],MATCH("Subtotal " &amp; budgetProjectPlan[[#This Row],[Category]],budgetCoE[Category],0),MATCH(budgetProjectPlan[[#Headers],[Milestone 4]],budgetCoE[#Headers],0))</f>
        <v>0</v>
      </c>
      <c r="F92" s="60">
        <f ca="1">INDEX(budgetCoE[],MATCH("Subtotal " &amp; budgetProjectPlan[[#This Row],[Category]],budgetCoE[Category],0),MATCH(budgetProjectPlan[[#Headers],[Final]],budgetCoE[#Headers],0))</f>
        <v>0</v>
      </c>
      <c r="G92" s="60">
        <f ca="1">SUM(budgetProjectPlan[[#This Row],[Milestone 1]:[Final]])</f>
        <v>0</v>
      </c>
      <c r="H92" s="60">
        <f>ROW()-ROW(budgetProjectPlan[#Headers])</f>
        <v>75</v>
      </c>
      <c r="I92" s="60">
        <f>IF(budgetProjectPlan[row] &lt;= numCategories +3, budgetProjectPlan[row]-1, MOD(budgetProjectPlan[row]-1,numCategories+3) + IF(MOD(budgetProjectPlan[row]-2,numCategories+2)&gt;numCategories+1, 1,0))</f>
        <v>8</v>
      </c>
      <c r="J92" s="60">
        <f>IFERROR(INDEX(directors[Last],MAX(1,FLOOR((budgetProjectPlan[row]-1)/(numCategories+3)+1,1))),1)</f>
        <v>0</v>
      </c>
      <c r="L92"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Co-financing of personnel</v>
      </c>
      <c r="M92" s="85">
        <f ca="1">budgetProjectPlan[[#This Row],[Milestone 1]]</f>
        <v>0</v>
      </c>
      <c r="N92" s="85">
        <f ca="1">budgetProjectPlan[[#This Row],[Milestone 2]]</f>
        <v>0</v>
      </c>
      <c r="O92" s="85">
        <f ca="1">budgetProjectPlan[[#This Row],[Milestone 3]]</f>
        <v>0</v>
      </c>
      <c r="P92" s="85">
        <f ca="1">budgetProjectPlan[[#This Row],[Milestone 4]]</f>
        <v>0</v>
      </c>
      <c r="Q92" s="85">
        <f ca="1">budgetProjectPlan[[#This Row],[Final]]</f>
        <v>0</v>
      </c>
      <c r="R92" s="60">
        <f ca="1">SUM(budgetSummary[[#This Row],[Milestone 1]:[Final]])</f>
        <v>0</v>
      </c>
      <c r="S92" s="60">
        <f>ROW()-ROW(budgetSummary[#Headers])</f>
        <v>75</v>
      </c>
      <c r="T92" s="60">
        <f>IF(budgetSummary[row] &lt;= numCategories +3, budgetSummary[row]-1, MOD(budgetSummary[row]-1,numCategories+3) + IF(MOD(budgetSummary[row]-2,numCategories+2)&gt;numCategories+1, 1,0))</f>
        <v>8</v>
      </c>
      <c r="U92" s="60">
        <f>IFERROR(INDEX(directors[Last],MAX(1,FLOOR((budgetSummary[row]-1)/(numCategories+3)+1,1))),1)</f>
        <v>0</v>
      </c>
    </row>
    <row r="93" spans="1:21" ht="15" customHeight="1" x14ac:dyDescent="0.25">
      <c r="A93"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Subtotal 0</v>
      </c>
      <c r="B93" s="60">
        <f ca="1">SUBTOTAL(9,B85:B92)</f>
        <v>0</v>
      </c>
      <c r="C93" s="60">
        <f t="shared" ref="C93:G93" ca="1" si="12">SUBTOTAL(9,C85:C92)</f>
        <v>0</v>
      </c>
      <c r="D93" s="60">
        <f t="shared" ca="1" si="12"/>
        <v>0</v>
      </c>
      <c r="E93" s="60">
        <f t="shared" ca="1" si="12"/>
        <v>0</v>
      </c>
      <c r="F93" s="60">
        <f t="shared" ca="1" si="12"/>
        <v>0</v>
      </c>
      <c r="G93" s="60">
        <f t="shared" ca="1" si="12"/>
        <v>0</v>
      </c>
      <c r="H93" s="60">
        <f>ROW()-ROW(budgetProjectPlan[#Headers])</f>
        <v>76</v>
      </c>
      <c r="I93" s="60">
        <f>IF(budgetProjectPlan[row] &lt;= numCategories +3, budgetProjectPlan[row]-1, MOD(budgetProjectPlan[row]-1,numCategories+3) + IF(MOD(budgetProjectPlan[row]-2,numCategories+2)&gt;numCategories+1, 1,0))</f>
        <v>9</v>
      </c>
      <c r="J93" s="60">
        <f>IFERROR(INDEX(directors[Last],MAX(1,FLOOR((budgetProjectPlan[row]-1)/(numCategories+3)+1,1))),1)</f>
        <v>0</v>
      </c>
      <c r="L93"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Subtotal 0</v>
      </c>
      <c r="M93" s="85">
        <f ca="1">SUBTOTAL(9,M85:M92)</f>
        <v>0</v>
      </c>
      <c r="N93" s="85">
        <f t="shared" ref="N93:R93" ca="1" si="13">SUBTOTAL(9,N85:N92)</f>
        <v>0</v>
      </c>
      <c r="O93" s="85">
        <f t="shared" ca="1" si="13"/>
        <v>0</v>
      </c>
      <c r="P93" s="85">
        <f t="shared" ca="1" si="13"/>
        <v>0</v>
      </c>
      <c r="Q93" s="85">
        <f t="shared" ca="1" si="13"/>
        <v>0</v>
      </c>
      <c r="R93" s="85">
        <f t="shared" ca="1" si="13"/>
        <v>0</v>
      </c>
      <c r="S93" s="60">
        <f>ROW()-ROW(budgetSummary[#Headers])</f>
        <v>76</v>
      </c>
      <c r="T93" s="60">
        <f>IF(budgetSummary[row] &lt;= numCategories +3, budgetSummary[row]-1, MOD(budgetSummary[row]-1,numCategories+3) + IF(MOD(budgetSummary[row]-2,numCategories+2)&gt;numCategories+1, 1,0))</f>
        <v>9</v>
      </c>
      <c r="U93" s="60">
        <f>IFERROR(INDEX(directors[Last],MAX(1,FLOOR((budgetSummary[row]-1)/(numCategories+3)+1,1))),1)</f>
        <v>0</v>
      </c>
    </row>
    <row r="94" spans="1:21" ht="15" customHeight="1" x14ac:dyDescent="0.25">
      <c r="A94"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c>
      <c r="H94" s="60">
        <f>ROW()-ROW(budgetProjectPlan[#Headers])</f>
        <v>77</v>
      </c>
      <c r="I94" s="60">
        <f>IF(budgetProjectPlan[row] &lt;= numCategories +3, budgetProjectPlan[row]-1, MOD(budgetProjectPlan[row]-1,numCategories+3) + IF(MOD(budgetProjectPlan[row]-2,numCategories+2)&gt;numCategories+1, 1,0))</f>
        <v>10</v>
      </c>
      <c r="J94" s="60">
        <f>IFERROR(INDEX(directors[Last],MAX(1,FLOOR((budgetProjectPlan[row]-1)/(numCategories+3)+1,1))),1)</f>
        <v>0</v>
      </c>
      <c r="L94"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c>
      <c r="M94" s="85"/>
      <c r="N94" s="85"/>
      <c r="O94" s="85"/>
      <c r="P94" s="85"/>
      <c r="Q94" s="85"/>
      <c r="S94" s="60">
        <f>ROW()-ROW(budgetSummary[#Headers])</f>
        <v>77</v>
      </c>
      <c r="T94" s="60">
        <f>IF(budgetSummary[row] &lt;= numCategories +3, budgetSummary[row]-1, MOD(budgetSummary[row]-1,numCategories+3) + IF(MOD(budgetSummary[row]-2,numCategories+2)&gt;numCategories+1, 1,0))</f>
        <v>10</v>
      </c>
      <c r="U94" s="60">
        <f>IFERROR(INDEX(directors[Last],MAX(1,FLOOR((budgetSummary[row]-1)/(numCategories+3)+1,1))),1)</f>
        <v>0</v>
      </c>
    </row>
    <row r="95" spans="1:21" ht="15" customHeight="1" x14ac:dyDescent="0.25">
      <c r="A95"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xml:space="preserve">0 / </v>
      </c>
      <c r="H95" s="60">
        <f>ROW()-ROW(budgetProjectPlan[#Headers])</f>
        <v>78</v>
      </c>
      <c r="I95" s="60">
        <f>IF(budgetProjectPlan[row] &lt;= numCategories +3, budgetProjectPlan[row]-1, MOD(budgetProjectPlan[row]-1,numCategories+3) + IF(MOD(budgetProjectPlan[row]-2,numCategories+2)&gt;numCategories+1, 1,0))</f>
        <v>0</v>
      </c>
      <c r="J95" s="60">
        <f>IFERROR(INDEX(directors[Last],MAX(1,FLOOR((budgetProjectPlan[row]-1)/(numCategories+3)+1,1))),1)</f>
        <v>0</v>
      </c>
      <c r="L95"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xml:space="preserve">0 / </v>
      </c>
      <c r="M95" s="85"/>
      <c r="N95" s="85"/>
      <c r="O95" s="85"/>
      <c r="P95" s="85"/>
      <c r="Q95" s="85"/>
      <c r="S95" s="60">
        <f>ROW()-ROW(budgetSummary[#Headers])</f>
        <v>78</v>
      </c>
      <c r="T95" s="60">
        <f>IF(budgetSummary[row] &lt;= numCategories +3, budgetSummary[row]-1, MOD(budgetSummary[row]-1,numCategories+3) + IF(MOD(budgetSummary[row]-2,numCategories+2)&gt;numCategories+1, 1,0))</f>
        <v>0</v>
      </c>
      <c r="U95" s="60">
        <f>IFERROR(INDEX(directors[Last],MAX(1,FLOOR((budgetSummary[row]-1)/(numCategories+3)+1,1))),1)</f>
        <v>0</v>
      </c>
    </row>
    <row r="96" spans="1:21" ht="15" customHeight="1" x14ac:dyDescent="0.25">
      <c r="A96"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Equipment</v>
      </c>
      <c r="B96" s="60">
        <f ca="1">INDEX(budgetCoF[],MATCH("Subtotal " &amp; budgetProjectPlan[[#This Row],[Category]],budgetCoF[Category],0),MATCH(budgetProjectPlan[[#Headers],[Milestone 1]],budgetCoF[#Headers],0))</f>
        <v>0</v>
      </c>
      <c r="C96" s="60">
        <f ca="1">INDEX(budgetCoF[],MATCH("Subtotal " &amp; budgetProjectPlan[[#This Row],[Category]],budgetCoF[Category],0),MATCH(budgetProjectPlan[[#Headers],[Milestone 2]],budgetCoF[#Headers],0))</f>
        <v>0</v>
      </c>
      <c r="D96" s="60">
        <f ca="1">INDEX(budgetCoF[],MATCH("Subtotal " &amp; budgetProjectPlan[[#This Row],[Category]],budgetCoF[Category],0),MATCH(budgetProjectPlan[[#Headers],[Milestone 3]],budgetCoF[#Headers],0))</f>
        <v>0</v>
      </c>
      <c r="E96" s="60">
        <f ca="1">INDEX(budgetCoF[],MATCH("Subtotal " &amp; budgetProjectPlan[[#This Row],[Category]],budgetCoF[Category],0),MATCH(budgetProjectPlan[[#Headers],[Milestone 4]],budgetCoF[#Headers],0))</f>
        <v>0</v>
      </c>
      <c r="F96" s="60">
        <f ca="1">INDEX(budgetCoF[],MATCH("Subtotal " &amp; budgetProjectPlan[[#This Row],[Category]],budgetCoF[Category],0),MATCH(budgetProjectPlan[[#Headers],[Final]],budgetCoF[#Headers],0))</f>
        <v>0</v>
      </c>
      <c r="G96" s="60">
        <f ca="1">SUM(budgetProjectPlan[[#This Row],[Milestone 1]:[Final]])</f>
        <v>0</v>
      </c>
      <c r="H96" s="60">
        <f>ROW()-ROW(budgetProjectPlan[#Headers])</f>
        <v>79</v>
      </c>
      <c r="I96" s="60">
        <f>IF(budgetProjectPlan[row] &lt;= numCategories +3, budgetProjectPlan[row]-1, MOD(budgetProjectPlan[row]-1,numCategories+3) + IF(MOD(budgetProjectPlan[row]-2,numCategories+2)&gt;numCategories+1, 1,0))</f>
        <v>1</v>
      </c>
      <c r="J96" s="60">
        <f>IFERROR(INDEX(directors[Last],MAX(1,FLOOR((budgetProjectPlan[row]-1)/(numCategories+3)+1,1))),1)</f>
        <v>0</v>
      </c>
      <c r="L96"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Equipment</v>
      </c>
      <c r="M96" s="85">
        <f ca="1">budgetProjectPlan[[#This Row],[Milestone 1]]</f>
        <v>0</v>
      </c>
      <c r="N96" s="85">
        <f ca="1">budgetProjectPlan[[#This Row],[Milestone 2]]</f>
        <v>0</v>
      </c>
      <c r="O96" s="85">
        <f ca="1">budgetProjectPlan[[#This Row],[Milestone 3]]</f>
        <v>0</v>
      </c>
      <c r="P96" s="85">
        <f ca="1">budgetProjectPlan[[#This Row],[Milestone 4]]</f>
        <v>0</v>
      </c>
      <c r="Q96" s="85">
        <f ca="1">budgetProjectPlan[[#This Row],[Final]]</f>
        <v>0</v>
      </c>
      <c r="R96" s="60">
        <f ca="1">SUM(budgetSummary[[#This Row],[Milestone 1]:[Final]])</f>
        <v>0</v>
      </c>
      <c r="S96" s="60">
        <f>ROW()-ROW(budgetSummary[#Headers])</f>
        <v>79</v>
      </c>
      <c r="T96" s="60">
        <f>IF(budgetSummary[row] &lt;= numCategories +3, budgetSummary[row]-1, MOD(budgetSummary[row]-1,numCategories+3) + IF(MOD(budgetSummary[row]-2,numCategories+2)&gt;numCategories+1, 1,0))</f>
        <v>1</v>
      </c>
      <c r="U96" s="60">
        <f>IFERROR(INDEX(directors[Last],MAX(1,FLOOR((budgetSummary[row]-1)/(numCategories+3)+1,1))),1)</f>
        <v>0</v>
      </c>
    </row>
    <row r="97" spans="1:21" ht="15" customHeight="1" x14ac:dyDescent="0.25">
      <c r="A97"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Training</v>
      </c>
      <c r="B97" s="60">
        <f ca="1">INDEX(budgetCoF[],MATCH("Subtotal " &amp; budgetProjectPlan[[#This Row],[Category]],budgetCoF[Category],0),MATCH(budgetProjectPlan[[#Headers],[Milestone 1]],budgetCoF[#Headers],0))</f>
        <v>0</v>
      </c>
      <c r="C97" s="60">
        <f ca="1">INDEX(budgetCoF[],MATCH("Subtotal " &amp; budgetProjectPlan[[#This Row],[Category]],budgetCoF[Category],0),MATCH(budgetProjectPlan[[#Headers],[Milestone 2]],budgetCoF[#Headers],0))</f>
        <v>0</v>
      </c>
      <c r="D97" s="60">
        <f ca="1">INDEX(budgetCoF[],MATCH("Subtotal " &amp; budgetProjectPlan[[#This Row],[Category]],budgetCoF[Category],0),MATCH(budgetProjectPlan[[#Headers],[Milestone 3]],budgetCoF[#Headers],0))</f>
        <v>0</v>
      </c>
      <c r="E97" s="60">
        <f ca="1">INDEX(budgetCoF[],MATCH("Subtotal " &amp; budgetProjectPlan[[#This Row],[Category]],budgetCoF[Category],0),MATCH(budgetProjectPlan[[#Headers],[Milestone 4]],budgetCoF[#Headers],0))</f>
        <v>0</v>
      </c>
      <c r="F97" s="60">
        <f ca="1">INDEX(budgetCoF[],MATCH("Subtotal " &amp; budgetProjectPlan[[#This Row],[Category]],budgetCoF[Category],0),MATCH(budgetProjectPlan[[#Headers],[Final]],budgetCoF[#Headers],0))</f>
        <v>0</v>
      </c>
      <c r="G97" s="60">
        <f ca="1">SUM(budgetProjectPlan[[#This Row],[Milestone 1]:[Final]])</f>
        <v>0</v>
      </c>
      <c r="H97" s="60">
        <f>ROW()-ROW(budgetProjectPlan[#Headers])</f>
        <v>80</v>
      </c>
      <c r="I97" s="60">
        <f>IF(budgetProjectPlan[row] &lt;= numCategories +3, budgetProjectPlan[row]-1, MOD(budgetProjectPlan[row]-1,numCategories+3) + IF(MOD(budgetProjectPlan[row]-2,numCategories+2)&gt;numCategories+1, 1,0))</f>
        <v>2</v>
      </c>
      <c r="J97" s="60">
        <f>IFERROR(INDEX(directors[Last],MAX(1,FLOOR((budgetProjectPlan[row]-1)/(numCategories+3)+1,1))),1)</f>
        <v>0</v>
      </c>
      <c r="L97"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Training</v>
      </c>
      <c r="M97" s="85">
        <f ca="1">budgetProjectPlan[[#This Row],[Milestone 1]]</f>
        <v>0</v>
      </c>
      <c r="N97" s="85">
        <f ca="1">budgetProjectPlan[[#This Row],[Milestone 2]]</f>
        <v>0</v>
      </c>
      <c r="O97" s="85">
        <f ca="1">budgetProjectPlan[[#This Row],[Milestone 3]]</f>
        <v>0</v>
      </c>
      <c r="P97" s="85">
        <f ca="1">budgetProjectPlan[[#This Row],[Milestone 4]]</f>
        <v>0</v>
      </c>
      <c r="Q97" s="85">
        <f ca="1">budgetProjectPlan[[#This Row],[Final]]</f>
        <v>0</v>
      </c>
      <c r="R97" s="60">
        <f ca="1">SUM(budgetSummary[[#This Row],[Milestone 1]:[Final]])</f>
        <v>0</v>
      </c>
      <c r="S97" s="60">
        <f>ROW()-ROW(budgetSummary[#Headers])</f>
        <v>80</v>
      </c>
      <c r="T97" s="60">
        <f>IF(budgetSummary[row] &lt;= numCategories +3, budgetSummary[row]-1, MOD(budgetSummary[row]-1,numCategories+3) + IF(MOD(budgetSummary[row]-2,numCategories+2)&gt;numCategories+1, 1,0))</f>
        <v>2</v>
      </c>
      <c r="U97" s="60">
        <f>IFERROR(INDEX(directors[Last],MAX(1,FLOOR((budgetSummary[row]-1)/(numCategories+3)+1,1))),1)</f>
        <v>0</v>
      </c>
    </row>
    <row r="98" spans="1:21" ht="15" customHeight="1" x14ac:dyDescent="0.25">
      <c r="A98"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Communication &amp; Publication</v>
      </c>
      <c r="B98" s="60">
        <f ca="1">INDEX(budgetCoF[],MATCH("Subtotal " &amp; budgetProjectPlan[[#This Row],[Category]],budgetCoF[Category],0),MATCH(budgetProjectPlan[[#Headers],[Milestone 1]],budgetCoF[#Headers],0))</f>
        <v>0</v>
      </c>
      <c r="C98" s="60">
        <f ca="1">INDEX(budgetCoF[],MATCH("Subtotal " &amp; budgetProjectPlan[[#This Row],[Category]],budgetCoF[Category],0),MATCH(budgetProjectPlan[[#Headers],[Milestone 2]],budgetCoF[#Headers],0))</f>
        <v>0</v>
      </c>
      <c r="D98" s="60">
        <f ca="1">INDEX(budgetCoF[],MATCH("Subtotal " &amp; budgetProjectPlan[[#This Row],[Category]],budgetCoF[Category],0),MATCH(budgetProjectPlan[[#Headers],[Milestone 3]],budgetCoF[#Headers],0))</f>
        <v>0</v>
      </c>
      <c r="E98" s="60">
        <f ca="1">INDEX(budgetCoF[],MATCH("Subtotal " &amp; budgetProjectPlan[[#This Row],[Category]],budgetCoF[Category],0),MATCH(budgetProjectPlan[[#Headers],[Milestone 4]],budgetCoF[#Headers],0))</f>
        <v>0</v>
      </c>
      <c r="F98" s="60">
        <f ca="1">INDEX(budgetCoF[],MATCH("Subtotal " &amp; budgetProjectPlan[[#This Row],[Category]],budgetCoF[Category],0),MATCH(budgetProjectPlan[[#Headers],[Final]],budgetCoF[#Headers],0))</f>
        <v>0</v>
      </c>
      <c r="G98" s="60">
        <f ca="1">SUM(budgetProjectPlan[[#This Row],[Milestone 1]:[Final]])</f>
        <v>0</v>
      </c>
      <c r="H98" s="61">
        <f>ROW()-ROW(budgetProjectPlan[#Headers])</f>
        <v>81</v>
      </c>
      <c r="I98" s="61">
        <f>IF(budgetProjectPlan[row] &lt;= numCategories +3, budgetProjectPlan[row]-1, MOD(budgetProjectPlan[row]-1,numCategories+3) + IF(MOD(budgetProjectPlan[row]-2,numCategories+2)&gt;numCategories+1, 1,0))</f>
        <v>3</v>
      </c>
      <c r="J98" s="60">
        <f>IFERROR(INDEX(directors[Last],MAX(1,FLOOR((budgetProjectPlan[row]-1)/(numCategories+3)+1,1))),1)</f>
        <v>0</v>
      </c>
      <c r="L98"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Communication &amp; Publication</v>
      </c>
      <c r="M98" s="85">
        <f ca="1">budgetProjectPlan[[#This Row],[Milestone 1]]</f>
        <v>0</v>
      </c>
      <c r="N98" s="85">
        <f ca="1">budgetProjectPlan[[#This Row],[Milestone 2]]</f>
        <v>0</v>
      </c>
      <c r="O98" s="85">
        <f ca="1">budgetProjectPlan[[#This Row],[Milestone 3]]</f>
        <v>0</v>
      </c>
      <c r="P98" s="85">
        <f ca="1">budgetProjectPlan[[#This Row],[Milestone 4]]</f>
        <v>0</v>
      </c>
      <c r="Q98" s="85">
        <f ca="1">budgetProjectPlan[[#This Row],[Final]]</f>
        <v>0</v>
      </c>
      <c r="R98" s="60">
        <f ca="1">SUM(budgetSummary[[#This Row],[Milestone 1]:[Final]])</f>
        <v>0</v>
      </c>
      <c r="S98" s="61">
        <f>ROW()-ROW(budgetSummary[#Headers])</f>
        <v>81</v>
      </c>
      <c r="T98" s="60">
        <f>IF(budgetSummary[row] &lt;= numCategories +3, budgetSummary[row]-1, MOD(budgetSummary[row]-1,numCategories+3) + IF(MOD(budgetSummary[row]-2,numCategories+2)&gt;numCategories+1, 1,0))</f>
        <v>3</v>
      </c>
      <c r="U98" s="61">
        <f>IFERROR(INDEX(directors[Last],MAX(1,FLOOR((budgetSummary[row]-1)/(numCategories+3)+1,1))),1)</f>
        <v>0</v>
      </c>
    </row>
    <row r="99" spans="1:21" ht="15" customHeight="1" x14ac:dyDescent="0.25">
      <c r="A99"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Travel</v>
      </c>
      <c r="B99" s="60">
        <f ca="1">INDEX(budgetCoF[],MATCH("Subtotal " &amp; budgetProjectPlan[[#This Row],[Category]],budgetCoF[Category],0),MATCH(budgetProjectPlan[[#Headers],[Milestone 1]],budgetCoF[#Headers],0))</f>
        <v>0</v>
      </c>
      <c r="C99" s="60">
        <f ca="1">INDEX(budgetCoF[],MATCH("Subtotal " &amp; budgetProjectPlan[[#This Row],[Category]],budgetCoF[Category],0),MATCH(budgetProjectPlan[[#Headers],[Milestone 2]],budgetCoF[#Headers],0))</f>
        <v>0</v>
      </c>
      <c r="D99" s="60">
        <f ca="1">INDEX(budgetCoF[],MATCH("Subtotal " &amp; budgetProjectPlan[[#This Row],[Category]],budgetCoF[Category],0),MATCH(budgetProjectPlan[[#Headers],[Milestone 3]],budgetCoF[#Headers],0))</f>
        <v>0</v>
      </c>
      <c r="E99" s="60">
        <f ca="1">INDEX(budgetCoF[],MATCH("Subtotal " &amp; budgetProjectPlan[[#This Row],[Category]],budgetCoF[Category],0),MATCH(budgetProjectPlan[[#Headers],[Milestone 4]],budgetCoF[#Headers],0))</f>
        <v>0</v>
      </c>
      <c r="F99" s="60">
        <f ca="1">INDEX(budgetCoF[],MATCH("Subtotal " &amp; budgetProjectPlan[[#This Row],[Category]],budgetCoF[Category],0),MATCH(budgetProjectPlan[[#Headers],[Final]],budgetCoF[#Headers],0))</f>
        <v>0</v>
      </c>
      <c r="G99" s="60">
        <f ca="1">SUM(budgetProjectPlan[[#This Row],[Milestone 1]:[Final]])</f>
        <v>0</v>
      </c>
      <c r="H99" s="60">
        <f>ROW()-ROW(budgetProjectPlan[#Headers])</f>
        <v>82</v>
      </c>
      <c r="I99" s="60">
        <f>IF(budgetProjectPlan[row] &lt;= numCategories +3, budgetProjectPlan[row]-1, MOD(budgetProjectPlan[row]-1,numCategories+3) + IF(MOD(budgetProjectPlan[row]-2,numCategories+2)&gt;numCategories+1, 1,0))</f>
        <v>4</v>
      </c>
      <c r="J99" s="60">
        <f>IFERROR(INDEX(directors[Last],MAX(1,FLOOR((budgetProjectPlan[row]-1)/(numCategories+3)+1,1))),1)</f>
        <v>0</v>
      </c>
      <c r="L99"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Travel</v>
      </c>
      <c r="M99" s="85">
        <f ca="1">budgetProjectPlan[[#This Row],[Milestone 1]]</f>
        <v>0</v>
      </c>
      <c r="N99" s="85">
        <f ca="1">budgetProjectPlan[[#This Row],[Milestone 2]]</f>
        <v>0</v>
      </c>
      <c r="O99" s="85">
        <f ca="1">budgetProjectPlan[[#This Row],[Milestone 3]]</f>
        <v>0</v>
      </c>
      <c r="P99" s="85">
        <f ca="1">budgetProjectPlan[[#This Row],[Milestone 4]]</f>
        <v>0</v>
      </c>
      <c r="Q99" s="85">
        <f ca="1">budgetProjectPlan[[#This Row],[Final]]</f>
        <v>0</v>
      </c>
      <c r="R99" s="60">
        <f ca="1">SUM(budgetSummary[[#This Row],[Milestone 1]:[Final]])</f>
        <v>0</v>
      </c>
      <c r="S99" s="60">
        <f>ROW()-ROW(budgetSummary[#Headers])</f>
        <v>82</v>
      </c>
      <c r="T99" s="60">
        <f>IF(budgetSummary[row] &lt;= numCategories +3, budgetSummary[row]-1, MOD(budgetSummary[row]-1,numCategories+3) + IF(MOD(budgetSummary[row]-2,numCategories+2)&gt;numCategories+1, 1,0))</f>
        <v>4</v>
      </c>
      <c r="U99" s="60">
        <f>IFERROR(INDEX(directors[Last],MAX(1,FLOOR((budgetSummary[row]-1)/(numCategories+3)+1,1))),1)</f>
        <v>0</v>
      </c>
    </row>
    <row r="100" spans="1:21" ht="15" customHeight="1" x14ac:dyDescent="0.25">
      <c r="A100"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Consumables</v>
      </c>
      <c r="B100" s="60">
        <f ca="1">INDEX(budgetCoF[],MATCH("Subtotal " &amp; budgetProjectPlan[[#This Row],[Category]],budgetCoF[Category],0),MATCH(budgetProjectPlan[[#Headers],[Milestone 1]],budgetCoF[#Headers],0))</f>
        <v>0</v>
      </c>
      <c r="C100" s="60">
        <f ca="1">INDEX(budgetCoF[],MATCH("Subtotal " &amp; budgetProjectPlan[[#This Row],[Category]],budgetCoF[Category],0),MATCH(budgetProjectPlan[[#Headers],[Milestone 2]],budgetCoF[#Headers],0))</f>
        <v>0</v>
      </c>
      <c r="D100" s="60">
        <f ca="1">INDEX(budgetCoF[],MATCH("Subtotal " &amp; budgetProjectPlan[[#This Row],[Category]],budgetCoF[Category],0),MATCH(budgetProjectPlan[[#Headers],[Milestone 3]],budgetCoF[#Headers],0))</f>
        <v>0</v>
      </c>
      <c r="E100" s="60">
        <f ca="1">INDEX(budgetCoF[],MATCH("Subtotal " &amp; budgetProjectPlan[[#This Row],[Category]],budgetCoF[Category],0),MATCH(budgetProjectPlan[[#Headers],[Milestone 4]],budgetCoF[#Headers],0))</f>
        <v>0</v>
      </c>
      <c r="F100" s="60">
        <f ca="1">INDEX(budgetCoF[],MATCH("Subtotal " &amp; budgetProjectPlan[[#This Row],[Category]],budgetCoF[Category],0),MATCH(budgetProjectPlan[[#Headers],[Final]],budgetCoF[#Headers],0))</f>
        <v>0</v>
      </c>
      <c r="G100" s="60">
        <f ca="1">SUM(budgetProjectPlan[[#This Row],[Milestone 1]:[Final]])</f>
        <v>0</v>
      </c>
      <c r="H100" s="60">
        <f>ROW()-ROW(budgetProjectPlan[#Headers])</f>
        <v>83</v>
      </c>
      <c r="I100" s="60">
        <f>IF(budgetProjectPlan[row] &lt;= numCategories +3, budgetProjectPlan[row]-1, MOD(budgetProjectPlan[row]-1,numCategories+3) + IF(MOD(budgetProjectPlan[row]-2,numCategories+2)&gt;numCategories+1, 1,0))</f>
        <v>5</v>
      </c>
      <c r="J100" s="60">
        <f>IFERROR(INDEX(directors[Last],MAX(1,FLOOR((budgetProjectPlan[row]-1)/(numCategories+3)+1,1))),1)</f>
        <v>0</v>
      </c>
      <c r="L100"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Consumables</v>
      </c>
      <c r="M100" s="85">
        <f ca="1">budgetProjectPlan[[#This Row],[Milestone 1]]</f>
        <v>0</v>
      </c>
      <c r="N100" s="85">
        <f ca="1">budgetProjectPlan[[#This Row],[Milestone 2]]</f>
        <v>0</v>
      </c>
      <c r="O100" s="85">
        <f ca="1">budgetProjectPlan[[#This Row],[Milestone 3]]</f>
        <v>0</v>
      </c>
      <c r="P100" s="85">
        <f ca="1">budgetProjectPlan[[#This Row],[Milestone 4]]</f>
        <v>0</v>
      </c>
      <c r="Q100" s="85">
        <f ca="1">budgetProjectPlan[[#This Row],[Final]]</f>
        <v>0</v>
      </c>
      <c r="R100" s="60">
        <f ca="1">SUM(budgetSummary[[#This Row],[Milestone 1]:[Final]])</f>
        <v>0</v>
      </c>
      <c r="S100" s="60">
        <f>ROW()-ROW(budgetSummary[#Headers])</f>
        <v>83</v>
      </c>
      <c r="T100" s="60">
        <f>IF(budgetSummary[row] &lt;= numCategories +3, budgetSummary[row]-1, MOD(budgetSummary[row]-1,numCategories+3) + IF(MOD(budgetSummary[row]-2,numCategories+2)&gt;numCategories+1, 1,0))</f>
        <v>5</v>
      </c>
      <c r="U100" s="60">
        <f>IFERROR(INDEX(directors[Last],MAX(1,FLOOR((budgetSummary[row]-1)/(numCategories+3)+1,1))),1)</f>
        <v>0</v>
      </c>
    </row>
    <row r="101" spans="1:21" ht="15" customHeight="1" x14ac:dyDescent="0.25">
      <c r="A101"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Other</v>
      </c>
      <c r="B101" s="60">
        <f ca="1">INDEX(budgetCoF[],MATCH("Subtotal " &amp; budgetProjectPlan[[#This Row],[Category]],budgetCoF[Category],0),MATCH(budgetProjectPlan[[#Headers],[Milestone 1]],budgetCoF[#Headers],0))</f>
        <v>0</v>
      </c>
      <c r="C101" s="60">
        <f ca="1">INDEX(budgetCoF[],MATCH("Subtotal " &amp; budgetProjectPlan[[#This Row],[Category]],budgetCoF[Category],0),MATCH(budgetProjectPlan[[#Headers],[Milestone 2]],budgetCoF[#Headers],0))</f>
        <v>0</v>
      </c>
      <c r="D101" s="60">
        <f ca="1">INDEX(budgetCoF[],MATCH("Subtotal " &amp; budgetProjectPlan[[#This Row],[Category]],budgetCoF[Category],0),MATCH(budgetProjectPlan[[#Headers],[Milestone 3]],budgetCoF[#Headers],0))</f>
        <v>0</v>
      </c>
      <c r="E101" s="60">
        <f ca="1">INDEX(budgetCoF[],MATCH("Subtotal " &amp; budgetProjectPlan[[#This Row],[Category]],budgetCoF[Category],0),MATCH(budgetProjectPlan[[#Headers],[Milestone 4]],budgetCoF[#Headers],0))</f>
        <v>0</v>
      </c>
      <c r="F101" s="60">
        <f ca="1">INDEX(budgetCoF[],MATCH("Subtotal " &amp; budgetProjectPlan[[#This Row],[Category]],budgetCoF[Category],0),MATCH(budgetProjectPlan[[#Headers],[Final]],budgetCoF[#Headers],0))</f>
        <v>0</v>
      </c>
      <c r="G101" s="60">
        <f ca="1">SUM(budgetProjectPlan[[#This Row],[Milestone 1]:[Final]])</f>
        <v>0</v>
      </c>
      <c r="H101" s="60">
        <f>ROW()-ROW(budgetProjectPlan[#Headers])</f>
        <v>84</v>
      </c>
      <c r="I101" s="60">
        <f>IF(budgetProjectPlan[row] &lt;= numCategories +3, budgetProjectPlan[row]-1, MOD(budgetProjectPlan[row]-1,numCategories+3) + IF(MOD(budgetProjectPlan[row]-2,numCategories+2)&gt;numCategories+1, 1,0))</f>
        <v>6</v>
      </c>
      <c r="J101" s="60">
        <f>IFERROR(INDEX(directors[Last],MAX(1,FLOOR((budgetProjectPlan[row]-1)/(numCategories+3)+1,1))),1)</f>
        <v>0</v>
      </c>
      <c r="L101"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Other</v>
      </c>
      <c r="M101" s="85">
        <f ca="1">budgetProjectPlan[[#This Row],[Milestone 1]]</f>
        <v>0</v>
      </c>
      <c r="N101" s="85">
        <f ca="1">budgetProjectPlan[[#This Row],[Milestone 2]]</f>
        <v>0</v>
      </c>
      <c r="O101" s="85">
        <f ca="1">budgetProjectPlan[[#This Row],[Milestone 3]]</f>
        <v>0</v>
      </c>
      <c r="P101" s="85">
        <f ca="1">budgetProjectPlan[[#This Row],[Milestone 4]]</f>
        <v>0</v>
      </c>
      <c r="Q101" s="85">
        <f ca="1">budgetProjectPlan[[#This Row],[Final]]</f>
        <v>0</v>
      </c>
      <c r="R101" s="60">
        <f ca="1">SUM(budgetSummary[[#This Row],[Milestone 1]:[Final]])</f>
        <v>0</v>
      </c>
      <c r="S101" s="60">
        <f>ROW()-ROW(budgetSummary[#Headers])</f>
        <v>84</v>
      </c>
      <c r="T101" s="60">
        <f>IF(budgetSummary[row] &lt;= numCategories +3, budgetSummary[row]-1, MOD(budgetSummary[row]-1,numCategories+3) + IF(MOD(budgetSummary[row]-2,numCategories+2)&gt;numCategories+1, 1,0))</f>
        <v>6</v>
      </c>
      <c r="U101" s="60">
        <f>IFERROR(INDEX(directors[Last],MAX(1,FLOOR((budgetSummary[row]-1)/(numCategories+3)+1,1))),1)</f>
        <v>0</v>
      </c>
    </row>
    <row r="102" spans="1:21" ht="15" customHeight="1" x14ac:dyDescent="0.25">
      <c r="A102"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Stipends</v>
      </c>
      <c r="B102" s="60">
        <f ca="1">INDEX(budgetCoF[],MATCH("Subtotal " &amp; budgetProjectPlan[[#This Row],[Category]],budgetCoF[Category],0),MATCH(budgetProjectPlan[[#Headers],[Milestone 1]],budgetCoF[#Headers],0))</f>
        <v>0</v>
      </c>
      <c r="C102" s="60">
        <f ca="1">INDEX(budgetCoF[],MATCH("Subtotal " &amp; budgetProjectPlan[[#This Row],[Category]],budgetCoF[Category],0),MATCH(budgetProjectPlan[[#Headers],[Milestone 2]],budgetCoF[#Headers],0))</f>
        <v>0</v>
      </c>
      <c r="D102" s="60">
        <f ca="1">INDEX(budgetCoF[],MATCH("Subtotal " &amp; budgetProjectPlan[[#This Row],[Category]],budgetCoF[Category],0),MATCH(budgetProjectPlan[[#Headers],[Milestone 3]],budgetCoF[#Headers],0))</f>
        <v>0</v>
      </c>
      <c r="E102" s="60">
        <f ca="1">INDEX(budgetCoF[],MATCH("Subtotal " &amp; budgetProjectPlan[[#This Row],[Category]],budgetCoF[Category],0),MATCH(budgetProjectPlan[[#Headers],[Milestone 4]],budgetCoF[#Headers],0))</f>
        <v>0</v>
      </c>
      <c r="F102" s="60">
        <f ca="1">INDEX(budgetCoF[],MATCH("Subtotal " &amp; budgetProjectPlan[[#This Row],[Category]],budgetCoF[Category],0),MATCH(budgetProjectPlan[[#Headers],[Final]],budgetCoF[#Headers],0))</f>
        <v>0</v>
      </c>
      <c r="G102" s="60">
        <f ca="1">SUM(budgetProjectPlan[[#This Row],[Milestone 1]:[Final]])</f>
        <v>0</v>
      </c>
      <c r="H102" s="60">
        <f>ROW()-ROW(budgetProjectPlan[#Headers])</f>
        <v>85</v>
      </c>
      <c r="I102" s="60">
        <f>IF(budgetProjectPlan[row] &lt;= numCategories +3, budgetProjectPlan[row]-1, MOD(budgetProjectPlan[row]-1,numCategories+3) + IF(MOD(budgetProjectPlan[row]-2,numCategories+2)&gt;numCategories+1, 1,0))</f>
        <v>7</v>
      </c>
      <c r="J102" s="60">
        <f>IFERROR(INDEX(directors[Last],MAX(1,FLOOR((budgetProjectPlan[row]-1)/(numCategories+3)+1,1))),1)</f>
        <v>0</v>
      </c>
      <c r="L102"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Stipends</v>
      </c>
      <c r="M102" s="85">
        <f ca="1">budgetProjectPlan[[#This Row],[Milestone 1]]</f>
        <v>0</v>
      </c>
      <c r="N102" s="85">
        <f ca="1">budgetProjectPlan[[#This Row],[Milestone 2]]</f>
        <v>0</v>
      </c>
      <c r="O102" s="85">
        <f ca="1">budgetProjectPlan[[#This Row],[Milestone 3]]</f>
        <v>0</v>
      </c>
      <c r="P102" s="85">
        <f ca="1">budgetProjectPlan[[#This Row],[Milestone 4]]</f>
        <v>0</v>
      </c>
      <c r="Q102" s="85">
        <f ca="1">budgetProjectPlan[[#This Row],[Final]]</f>
        <v>0</v>
      </c>
      <c r="R102" s="60">
        <f ca="1">SUM(budgetSummary[[#This Row],[Milestone 1]:[Final]])</f>
        <v>0</v>
      </c>
      <c r="S102" s="60">
        <f>ROW()-ROW(budgetSummary[#Headers])</f>
        <v>85</v>
      </c>
      <c r="T102" s="60">
        <f>IF(budgetSummary[row] &lt;= numCategories +3, budgetSummary[row]-1, MOD(budgetSummary[row]-1,numCategories+3) + IF(MOD(budgetSummary[row]-2,numCategories+2)&gt;numCategories+1, 1,0))</f>
        <v>7</v>
      </c>
      <c r="U102" s="60">
        <f>IFERROR(INDEX(directors[Last],MAX(1,FLOOR((budgetSummary[row]-1)/(numCategories+3)+1,1))),1)</f>
        <v>0</v>
      </c>
    </row>
    <row r="103" spans="1:21" ht="15" customHeight="1" x14ac:dyDescent="0.25">
      <c r="A103"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Co-financing of personnel</v>
      </c>
      <c r="B103" s="60">
        <f ca="1">INDEX(budgetCoF[],MATCH("Subtotal " &amp; budgetProjectPlan[[#This Row],[Category]],budgetCoF[Category],0),MATCH(budgetProjectPlan[[#Headers],[Milestone 1]],budgetCoF[#Headers],0))</f>
        <v>0</v>
      </c>
      <c r="C103" s="60">
        <f ca="1">INDEX(budgetCoF[],MATCH("Subtotal " &amp; budgetProjectPlan[[#This Row],[Category]],budgetCoF[Category],0),MATCH(budgetProjectPlan[[#Headers],[Milestone 2]],budgetCoF[#Headers],0))</f>
        <v>0</v>
      </c>
      <c r="D103" s="60">
        <f ca="1">INDEX(budgetCoF[],MATCH("Subtotal " &amp; budgetProjectPlan[[#This Row],[Category]],budgetCoF[Category],0),MATCH(budgetProjectPlan[[#Headers],[Milestone 3]],budgetCoF[#Headers],0))</f>
        <v>0</v>
      </c>
      <c r="E103" s="60">
        <f ca="1">INDEX(budgetCoF[],MATCH("Subtotal " &amp; budgetProjectPlan[[#This Row],[Category]],budgetCoF[Category],0),MATCH(budgetProjectPlan[[#Headers],[Milestone 4]],budgetCoF[#Headers],0))</f>
        <v>0</v>
      </c>
      <c r="F103" s="60">
        <f ca="1">INDEX(budgetCoF[],MATCH("Subtotal " &amp; budgetProjectPlan[[#This Row],[Category]],budgetCoF[Category],0),MATCH(budgetProjectPlan[[#Headers],[Final]],budgetCoF[#Headers],0))</f>
        <v>0</v>
      </c>
      <c r="G103" s="60">
        <f ca="1">SUM(budgetProjectPlan[[#This Row],[Milestone 1]:[Final]])</f>
        <v>0</v>
      </c>
      <c r="H103" s="60">
        <f>ROW()-ROW(budgetProjectPlan[#Headers])</f>
        <v>86</v>
      </c>
      <c r="I103" s="60">
        <f>IF(budgetProjectPlan[row] &lt;= numCategories +3, budgetProjectPlan[row]-1, MOD(budgetProjectPlan[row]-1,numCategories+3) + IF(MOD(budgetProjectPlan[row]-2,numCategories+2)&gt;numCategories+1, 1,0))</f>
        <v>8</v>
      </c>
      <c r="J103" s="60">
        <f>IFERROR(INDEX(directors[Last],MAX(1,FLOOR((budgetProjectPlan[row]-1)/(numCategories+3)+1,1))),1)</f>
        <v>0</v>
      </c>
      <c r="L103"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Co-financing of personnel</v>
      </c>
      <c r="M103" s="85">
        <f ca="1">budgetProjectPlan[[#This Row],[Milestone 1]]</f>
        <v>0</v>
      </c>
      <c r="N103" s="85">
        <f ca="1">budgetProjectPlan[[#This Row],[Milestone 2]]</f>
        <v>0</v>
      </c>
      <c r="O103" s="85">
        <f ca="1">budgetProjectPlan[[#This Row],[Milestone 3]]</f>
        <v>0</v>
      </c>
      <c r="P103" s="85">
        <f ca="1">budgetProjectPlan[[#This Row],[Milestone 4]]</f>
        <v>0</v>
      </c>
      <c r="Q103" s="85">
        <f ca="1">budgetProjectPlan[[#This Row],[Final]]</f>
        <v>0</v>
      </c>
      <c r="R103" s="60">
        <f ca="1">SUM(budgetSummary[[#This Row],[Milestone 1]:[Final]])</f>
        <v>0</v>
      </c>
      <c r="S103" s="60">
        <f>ROW()-ROW(budgetSummary[#Headers])</f>
        <v>86</v>
      </c>
      <c r="T103" s="60">
        <f>IF(budgetSummary[row] &lt;= numCategories +3, budgetSummary[row]-1, MOD(budgetSummary[row]-1,numCategories+3) + IF(MOD(budgetSummary[row]-2,numCategories+2)&gt;numCategories+1, 1,0))</f>
        <v>8</v>
      </c>
      <c r="U103" s="60">
        <f>IFERROR(INDEX(directors[Last],MAX(1,FLOOR((budgetSummary[row]-1)/(numCategories+3)+1,1))),1)</f>
        <v>0</v>
      </c>
    </row>
    <row r="104" spans="1:21" ht="15" customHeight="1" x14ac:dyDescent="0.25">
      <c r="A104"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Subtotal 0</v>
      </c>
      <c r="B104" s="60">
        <f ca="1">SUBTOTAL(9,B96:B103)</f>
        <v>0</v>
      </c>
      <c r="C104" s="60">
        <f t="shared" ref="C104:G104" ca="1" si="14">SUBTOTAL(9,C96:C103)</f>
        <v>0</v>
      </c>
      <c r="D104" s="60">
        <f t="shared" ca="1" si="14"/>
        <v>0</v>
      </c>
      <c r="E104" s="60">
        <f t="shared" ca="1" si="14"/>
        <v>0</v>
      </c>
      <c r="F104" s="60">
        <f t="shared" ca="1" si="14"/>
        <v>0</v>
      </c>
      <c r="G104" s="60">
        <f t="shared" ca="1" si="14"/>
        <v>0</v>
      </c>
      <c r="H104" s="61">
        <f>ROW()-ROW(budgetProjectPlan[#Headers])</f>
        <v>87</v>
      </c>
      <c r="I104" s="61">
        <f>IF(budgetProjectPlan[row] &lt;= numCategories +3, budgetProjectPlan[row]-1, MOD(budgetProjectPlan[row]-1,numCategories+3) + IF(MOD(budgetProjectPlan[row]-2,numCategories+2)&gt;numCategories+1, 1,0))</f>
        <v>9</v>
      </c>
      <c r="J104" s="60">
        <f>IFERROR(INDEX(directors[Last],MAX(1,FLOOR((budgetProjectPlan[row]-1)/(numCategories+3)+1,1))),1)</f>
        <v>0</v>
      </c>
      <c r="L104"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Subtotal 0</v>
      </c>
      <c r="M104" s="85">
        <f ca="1">SUBTOTAL(9,M96:M103)</f>
        <v>0</v>
      </c>
      <c r="N104" s="85">
        <f t="shared" ref="N104:R104" ca="1" si="15">SUBTOTAL(9,N96:N103)</f>
        <v>0</v>
      </c>
      <c r="O104" s="85">
        <f t="shared" ca="1" si="15"/>
        <v>0</v>
      </c>
      <c r="P104" s="85">
        <f t="shared" ca="1" si="15"/>
        <v>0</v>
      </c>
      <c r="Q104" s="85">
        <f t="shared" ca="1" si="15"/>
        <v>0</v>
      </c>
      <c r="R104" s="85">
        <f t="shared" ca="1" si="15"/>
        <v>0</v>
      </c>
      <c r="S104" s="61">
        <f>ROW()-ROW(budgetSummary[#Headers])</f>
        <v>87</v>
      </c>
      <c r="T104" s="60">
        <f>IF(budgetSummary[row] &lt;= numCategories +3, budgetSummary[row]-1, MOD(budgetSummary[row]-1,numCategories+3) + IF(MOD(budgetSummary[row]-2,numCategories+2)&gt;numCategories+1, 1,0))</f>
        <v>9</v>
      </c>
      <c r="U104" s="61">
        <f>IFERROR(INDEX(directors[Last],MAX(1,FLOOR((budgetSummary[row]-1)/(numCategories+3)+1,1))),1)</f>
        <v>0</v>
      </c>
    </row>
    <row r="105" spans="1:21" ht="15" customHeight="1" x14ac:dyDescent="0.25">
      <c r="A105"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c>
      <c r="H105" s="60">
        <f>ROW()-ROW(budgetProjectPlan[#Headers])</f>
        <v>88</v>
      </c>
      <c r="I105" s="60">
        <f>IF(budgetProjectPlan[row] &lt;= numCategories +3, budgetProjectPlan[row]-1, MOD(budgetProjectPlan[row]-1,numCategories+3) + IF(MOD(budgetProjectPlan[row]-2,numCategories+2)&gt;numCategories+1, 1,0))</f>
        <v>10</v>
      </c>
      <c r="J105" s="60">
        <f>IFERROR(INDEX(directors[Last],MAX(1,FLOOR((budgetProjectPlan[row]-1)/(numCategories+3)+1,1))),1)</f>
        <v>0</v>
      </c>
      <c r="L105"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c>
      <c r="M105" s="85"/>
      <c r="N105" s="85"/>
      <c r="O105" s="85"/>
      <c r="P105" s="85"/>
      <c r="Q105" s="85"/>
      <c r="S105" s="60">
        <f>ROW()-ROW(budgetSummary[#Headers])</f>
        <v>88</v>
      </c>
      <c r="T105" s="60">
        <f>IF(budgetSummary[row] &lt;= numCategories +3, budgetSummary[row]-1, MOD(budgetSummary[row]-1,numCategories+3) + IF(MOD(budgetSummary[row]-2,numCategories+2)&gt;numCategories+1, 1,0))</f>
        <v>10</v>
      </c>
      <c r="U105" s="60">
        <f>IFERROR(INDEX(directors[Last],MAX(1,FLOOR((budgetSummary[row]-1)/(numCategories+3)+1,1))),1)</f>
        <v>0</v>
      </c>
    </row>
    <row r="106" spans="1:21" ht="15" customHeight="1" x14ac:dyDescent="0.25">
      <c r="A106"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xml:space="preserve">0 / </v>
      </c>
      <c r="H106" s="60">
        <f>ROW()-ROW(budgetProjectPlan[#Headers])</f>
        <v>89</v>
      </c>
      <c r="I106" s="60">
        <f>IF(budgetProjectPlan[row] &lt;= numCategories +3, budgetProjectPlan[row]-1, MOD(budgetProjectPlan[row]-1,numCategories+3) + IF(MOD(budgetProjectPlan[row]-2,numCategories+2)&gt;numCategories+1, 1,0))</f>
        <v>0</v>
      </c>
      <c r="J106" s="60">
        <f>IFERROR(INDEX(directors[Last],MAX(1,FLOOR((budgetProjectPlan[row]-1)/(numCategories+3)+1,1))),1)</f>
        <v>0</v>
      </c>
      <c r="L106"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xml:space="preserve">0 / </v>
      </c>
      <c r="M106" s="85"/>
      <c r="N106" s="85"/>
      <c r="O106" s="85"/>
      <c r="P106" s="85"/>
      <c r="Q106" s="85"/>
      <c r="S106" s="60">
        <f>ROW()-ROW(budgetSummary[#Headers])</f>
        <v>89</v>
      </c>
      <c r="T106" s="60">
        <f>IF(budgetSummary[row] &lt;= numCategories +3, budgetSummary[row]-1, MOD(budgetSummary[row]-1,numCategories+3) + IF(MOD(budgetSummary[row]-2,numCategories+2)&gt;numCategories+1, 1,0))</f>
        <v>0</v>
      </c>
      <c r="U106" s="60">
        <f>IFERROR(INDEX(directors[Last],MAX(1,FLOOR((budgetSummary[row]-1)/(numCategories+3)+1,1))),1)</f>
        <v>0</v>
      </c>
    </row>
    <row r="107" spans="1:21" ht="15" customHeight="1" x14ac:dyDescent="0.25">
      <c r="A107"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Equipment</v>
      </c>
      <c r="B107" s="60">
        <f ca="1">INDEX(budgetCoG[],MATCH("Subtotal " &amp; budgetProjectPlan[[#This Row],[Category]],budgetCoG[Category],0),MATCH(budgetProjectPlan[[#Headers],[Milestone 1]],budgetCoG[#Headers],0))</f>
        <v>0</v>
      </c>
      <c r="C107" s="60">
        <f ca="1">INDEX(budgetCoG[],MATCH("Subtotal " &amp; budgetProjectPlan[[#This Row],[Category]],budgetCoG[Category],0),MATCH(budgetProjectPlan[[#Headers],[Milestone 2]],budgetCoG[#Headers],0))</f>
        <v>0</v>
      </c>
      <c r="D107" s="60">
        <f ca="1">INDEX(budgetCoG[],MATCH("Subtotal " &amp; budgetProjectPlan[[#This Row],[Category]],budgetCoG[Category],0),MATCH(budgetProjectPlan[[#Headers],[Milestone 3]],budgetCoG[#Headers],0))</f>
        <v>0</v>
      </c>
      <c r="E107" s="60">
        <f ca="1">INDEX(budgetCoG[],MATCH("Subtotal " &amp; budgetProjectPlan[[#This Row],[Category]],budgetCoG[Category],0),MATCH(budgetProjectPlan[[#Headers],[Milestone 4]],budgetCoG[#Headers],0))</f>
        <v>0</v>
      </c>
      <c r="F107" s="60">
        <f ca="1">INDEX(budgetCoG[],MATCH("Subtotal " &amp; budgetProjectPlan[[#This Row],[Category]],budgetCoG[Category],0),MATCH(budgetProjectPlan[[#Headers],[Final]],budgetCoG[#Headers],0))</f>
        <v>0</v>
      </c>
      <c r="G107" s="60">
        <f ca="1">SUM(budgetProjectPlan[[#This Row],[Milestone 1]:[Final]])</f>
        <v>0</v>
      </c>
      <c r="H107" s="61">
        <f>ROW()-ROW(budgetProjectPlan[#Headers])</f>
        <v>90</v>
      </c>
      <c r="I107" s="61">
        <f>IF(budgetProjectPlan[row] &lt;= numCategories +3, budgetProjectPlan[row]-1, MOD(budgetProjectPlan[row]-1,numCategories+3) + IF(MOD(budgetProjectPlan[row]-2,numCategories+2)&gt;numCategories+1, 1,0))</f>
        <v>1</v>
      </c>
      <c r="J107" s="60">
        <f>IFERROR(INDEX(directors[Last],MAX(1,FLOOR((budgetProjectPlan[row]-1)/(numCategories+3)+1,1))),1)</f>
        <v>0</v>
      </c>
      <c r="L107"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Equipment</v>
      </c>
      <c r="M107" s="85">
        <f ca="1">budgetProjectPlan[[#This Row],[Milestone 1]]</f>
        <v>0</v>
      </c>
      <c r="N107" s="85">
        <f ca="1">budgetProjectPlan[[#This Row],[Milestone 2]]</f>
        <v>0</v>
      </c>
      <c r="O107" s="85">
        <f ca="1">budgetProjectPlan[[#This Row],[Milestone 3]]</f>
        <v>0</v>
      </c>
      <c r="P107" s="85">
        <f ca="1">budgetProjectPlan[[#This Row],[Milestone 4]]</f>
        <v>0</v>
      </c>
      <c r="Q107" s="85">
        <f ca="1">budgetProjectPlan[[#This Row],[Final]]</f>
        <v>0</v>
      </c>
      <c r="R107" s="60">
        <f ca="1">SUM(budgetSummary[[#This Row],[Milestone 1]:[Final]])</f>
        <v>0</v>
      </c>
      <c r="S107" s="61">
        <f>ROW()-ROW(budgetSummary[#Headers])</f>
        <v>90</v>
      </c>
      <c r="T107" s="60">
        <f>IF(budgetSummary[row] &lt;= numCategories +3, budgetSummary[row]-1, MOD(budgetSummary[row]-1,numCategories+3) + IF(MOD(budgetSummary[row]-2,numCategories+2)&gt;numCategories+1, 1,0))</f>
        <v>1</v>
      </c>
      <c r="U107" s="61">
        <f>IFERROR(INDEX(directors[Last],MAX(1,FLOOR((budgetSummary[row]-1)/(numCategories+3)+1,1))),1)</f>
        <v>0</v>
      </c>
    </row>
    <row r="108" spans="1:21" ht="15" customHeight="1" x14ac:dyDescent="0.25">
      <c r="A108"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Training</v>
      </c>
      <c r="B108" s="60">
        <f ca="1">INDEX(budgetCoG[],MATCH("Subtotal " &amp; budgetProjectPlan[[#This Row],[Category]],budgetCoG[Category],0),MATCH(budgetProjectPlan[[#Headers],[Milestone 1]],budgetCoG[#Headers],0))</f>
        <v>0</v>
      </c>
      <c r="C108" s="60">
        <f ca="1">INDEX(budgetCoG[],MATCH("Subtotal " &amp; budgetProjectPlan[[#This Row],[Category]],budgetCoG[Category],0),MATCH(budgetProjectPlan[[#Headers],[Milestone 2]],budgetCoG[#Headers],0))</f>
        <v>0</v>
      </c>
      <c r="D108" s="60">
        <f ca="1">INDEX(budgetCoG[],MATCH("Subtotal " &amp; budgetProjectPlan[[#This Row],[Category]],budgetCoG[Category],0),MATCH(budgetProjectPlan[[#Headers],[Milestone 3]],budgetCoG[#Headers],0))</f>
        <v>0</v>
      </c>
      <c r="E108" s="60">
        <f ca="1">INDEX(budgetCoG[],MATCH("Subtotal " &amp; budgetProjectPlan[[#This Row],[Category]],budgetCoG[Category],0),MATCH(budgetProjectPlan[[#Headers],[Milestone 4]],budgetCoG[#Headers],0))</f>
        <v>0</v>
      </c>
      <c r="F108" s="60">
        <f ca="1">INDEX(budgetCoG[],MATCH("Subtotal " &amp; budgetProjectPlan[[#This Row],[Category]],budgetCoG[Category],0),MATCH(budgetProjectPlan[[#Headers],[Final]],budgetCoG[#Headers],0))</f>
        <v>0</v>
      </c>
      <c r="G108" s="60">
        <f ca="1">SUM(budgetProjectPlan[[#This Row],[Milestone 1]:[Final]])</f>
        <v>0</v>
      </c>
      <c r="H108" s="60">
        <f>ROW()-ROW(budgetProjectPlan[#Headers])</f>
        <v>91</v>
      </c>
      <c r="I108" s="60">
        <f>IF(budgetProjectPlan[row] &lt;= numCategories +3, budgetProjectPlan[row]-1, MOD(budgetProjectPlan[row]-1,numCategories+3) + IF(MOD(budgetProjectPlan[row]-2,numCategories+2)&gt;numCategories+1, 1,0))</f>
        <v>2</v>
      </c>
      <c r="J108" s="60">
        <f>IFERROR(INDEX(directors[Last],MAX(1,FLOOR((budgetProjectPlan[row]-1)/(numCategories+3)+1,1))),1)</f>
        <v>0</v>
      </c>
      <c r="L108"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Training</v>
      </c>
      <c r="M108" s="85">
        <f ca="1">budgetProjectPlan[[#This Row],[Milestone 1]]</f>
        <v>0</v>
      </c>
      <c r="N108" s="85">
        <f ca="1">budgetProjectPlan[[#This Row],[Milestone 2]]</f>
        <v>0</v>
      </c>
      <c r="O108" s="85">
        <f ca="1">budgetProjectPlan[[#This Row],[Milestone 3]]</f>
        <v>0</v>
      </c>
      <c r="P108" s="85">
        <f ca="1">budgetProjectPlan[[#This Row],[Milestone 4]]</f>
        <v>0</v>
      </c>
      <c r="Q108" s="85">
        <f ca="1">budgetProjectPlan[[#This Row],[Final]]</f>
        <v>0</v>
      </c>
      <c r="R108" s="60">
        <f ca="1">SUM(budgetSummary[[#This Row],[Milestone 1]:[Final]])</f>
        <v>0</v>
      </c>
      <c r="S108" s="60">
        <f>ROW()-ROW(budgetSummary[#Headers])</f>
        <v>91</v>
      </c>
      <c r="T108" s="60">
        <f>IF(budgetSummary[row] &lt;= numCategories +3, budgetSummary[row]-1, MOD(budgetSummary[row]-1,numCategories+3) + IF(MOD(budgetSummary[row]-2,numCategories+2)&gt;numCategories+1, 1,0))</f>
        <v>2</v>
      </c>
      <c r="U108" s="60">
        <f>IFERROR(INDEX(directors[Last],MAX(1,FLOOR((budgetSummary[row]-1)/(numCategories+3)+1,1))),1)</f>
        <v>0</v>
      </c>
    </row>
    <row r="109" spans="1:21" ht="15" customHeight="1" x14ac:dyDescent="0.25">
      <c r="A109"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Communication &amp; Publication</v>
      </c>
      <c r="B109" s="60">
        <f>INDEX(budgetCoG[],MATCH("Subtotal " &amp; budgetProjectPlan[[#This Row],[Category]],budgetCoG[Category],0),MATCH(budgetProjectPlan[[#Headers],[Milestone 1]],budgetCoG[#Headers],0))</f>
        <v>0</v>
      </c>
      <c r="C109" s="60">
        <f>INDEX(budgetCoG[],MATCH("Subtotal " &amp; budgetProjectPlan[[#This Row],[Category]],budgetCoG[Category],0),MATCH(budgetProjectPlan[[#Headers],[Milestone 2]],budgetCoG[#Headers],0))</f>
        <v>0</v>
      </c>
      <c r="D109" s="60">
        <f>INDEX(budgetCoG[],MATCH("Subtotal " &amp; budgetProjectPlan[[#This Row],[Category]],budgetCoG[Category],0),MATCH(budgetProjectPlan[[#Headers],[Milestone 3]],budgetCoG[#Headers],0))</f>
        <v>0</v>
      </c>
      <c r="E109" s="60">
        <f>INDEX(budgetCoG[],MATCH("Subtotal " &amp; budgetProjectPlan[[#This Row],[Category]],budgetCoG[Category],0),MATCH(budgetProjectPlan[[#Headers],[Milestone 4]],budgetCoG[#Headers],0))</f>
        <v>0</v>
      </c>
      <c r="F109" s="60">
        <f>INDEX(budgetCoG[],MATCH("Subtotal " &amp; budgetProjectPlan[[#This Row],[Category]],budgetCoG[Category],0),MATCH(budgetProjectPlan[[#Headers],[Final]],budgetCoG[#Headers],0))</f>
        <v>0</v>
      </c>
      <c r="G109" s="60">
        <f>SUM(budgetProjectPlan[[#This Row],[Milestone 1]:[Final]])</f>
        <v>0</v>
      </c>
      <c r="H109" s="61">
        <f>ROW()-ROW(budgetProjectPlan[#Headers])</f>
        <v>92</v>
      </c>
      <c r="I109" s="61">
        <f>IF(budgetProjectPlan[row] &lt;= numCategories +3, budgetProjectPlan[row]-1, MOD(budgetProjectPlan[row]-1,numCategories+3) + IF(MOD(budgetProjectPlan[row]-2,numCategories+2)&gt;numCategories+1, 1,0))</f>
        <v>3</v>
      </c>
      <c r="J109" s="60">
        <f>IFERROR(INDEX(directors[Last],MAX(1,FLOOR((budgetProjectPlan[row]-1)/(numCategories+3)+1,1))),1)</f>
        <v>0</v>
      </c>
      <c r="L109"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Communication &amp; Publication</v>
      </c>
      <c r="M109" s="85">
        <f>budgetProjectPlan[[#This Row],[Milestone 1]]</f>
        <v>0</v>
      </c>
      <c r="N109" s="85">
        <f>budgetProjectPlan[[#This Row],[Milestone 2]]</f>
        <v>0</v>
      </c>
      <c r="O109" s="85">
        <f>budgetProjectPlan[[#This Row],[Milestone 3]]</f>
        <v>0</v>
      </c>
      <c r="P109" s="85">
        <f>budgetProjectPlan[[#This Row],[Milestone 4]]</f>
        <v>0</v>
      </c>
      <c r="Q109" s="85">
        <f>budgetProjectPlan[[#This Row],[Final]]</f>
        <v>0</v>
      </c>
      <c r="R109" s="60">
        <f>SUM(budgetSummary[[#This Row],[Milestone 1]:[Final]])</f>
        <v>0</v>
      </c>
      <c r="S109" s="61">
        <f>ROW()-ROW(budgetSummary[#Headers])</f>
        <v>92</v>
      </c>
      <c r="T109" s="60">
        <f>IF(budgetSummary[row] &lt;= numCategories +3, budgetSummary[row]-1, MOD(budgetSummary[row]-1,numCategories+3) + IF(MOD(budgetSummary[row]-2,numCategories+2)&gt;numCategories+1, 1,0))</f>
        <v>3</v>
      </c>
      <c r="U109" s="61">
        <f>IFERROR(INDEX(directors[Last],MAX(1,FLOOR((budgetSummary[row]-1)/(numCategories+3)+1,1))),1)</f>
        <v>0</v>
      </c>
    </row>
    <row r="110" spans="1:21" ht="15" customHeight="1" x14ac:dyDescent="0.25">
      <c r="A110"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Travel</v>
      </c>
      <c r="B110" s="60">
        <f ca="1">INDEX(budgetCoG[],MATCH("Subtotal " &amp; budgetProjectPlan[[#This Row],[Category]],budgetCoG[Category],0),MATCH(budgetProjectPlan[[#Headers],[Milestone 1]],budgetCoG[#Headers],0))</f>
        <v>0</v>
      </c>
      <c r="C110" s="60">
        <f ca="1">INDEX(budgetCoG[],MATCH("Subtotal " &amp; budgetProjectPlan[[#This Row],[Category]],budgetCoG[Category],0),MATCH(budgetProjectPlan[[#Headers],[Milestone 2]],budgetCoG[#Headers],0))</f>
        <v>0</v>
      </c>
      <c r="D110" s="60">
        <f ca="1">INDEX(budgetCoG[],MATCH("Subtotal " &amp; budgetProjectPlan[[#This Row],[Category]],budgetCoG[Category],0),MATCH(budgetProjectPlan[[#Headers],[Milestone 3]],budgetCoG[#Headers],0))</f>
        <v>0</v>
      </c>
      <c r="E110" s="60">
        <f ca="1">INDEX(budgetCoG[],MATCH("Subtotal " &amp; budgetProjectPlan[[#This Row],[Category]],budgetCoG[Category],0),MATCH(budgetProjectPlan[[#Headers],[Milestone 4]],budgetCoG[#Headers],0))</f>
        <v>0</v>
      </c>
      <c r="F110" s="60">
        <f ca="1">INDEX(budgetCoG[],MATCH("Subtotal " &amp; budgetProjectPlan[[#This Row],[Category]],budgetCoG[Category],0),MATCH(budgetProjectPlan[[#Headers],[Final]],budgetCoG[#Headers],0))</f>
        <v>0</v>
      </c>
      <c r="G110" s="60">
        <f ca="1">SUM(budgetProjectPlan[[#This Row],[Milestone 1]:[Final]])</f>
        <v>0</v>
      </c>
      <c r="H110" s="60">
        <f>ROW()-ROW(budgetProjectPlan[#Headers])</f>
        <v>93</v>
      </c>
      <c r="I110" s="60">
        <f>IF(budgetProjectPlan[row] &lt;= numCategories +3, budgetProjectPlan[row]-1, MOD(budgetProjectPlan[row]-1,numCategories+3) + IF(MOD(budgetProjectPlan[row]-2,numCategories+2)&gt;numCategories+1, 1,0))</f>
        <v>4</v>
      </c>
      <c r="J110" s="60">
        <f>IFERROR(INDEX(directors[Last],MAX(1,FLOOR((budgetProjectPlan[row]-1)/(numCategories+3)+1,1))),1)</f>
        <v>0</v>
      </c>
      <c r="L110"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Travel</v>
      </c>
      <c r="M110" s="85">
        <f ca="1">budgetProjectPlan[[#This Row],[Milestone 1]]</f>
        <v>0</v>
      </c>
      <c r="N110" s="85">
        <f ca="1">budgetProjectPlan[[#This Row],[Milestone 2]]</f>
        <v>0</v>
      </c>
      <c r="O110" s="85">
        <f ca="1">budgetProjectPlan[[#This Row],[Milestone 3]]</f>
        <v>0</v>
      </c>
      <c r="P110" s="85">
        <f ca="1">budgetProjectPlan[[#This Row],[Milestone 4]]</f>
        <v>0</v>
      </c>
      <c r="Q110" s="85">
        <f ca="1">budgetProjectPlan[[#This Row],[Final]]</f>
        <v>0</v>
      </c>
      <c r="R110" s="60">
        <f ca="1">SUM(budgetSummary[[#This Row],[Milestone 1]:[Final]])</f>
        <v>0</v>
      </c>
      <c r="S110" s="60">
        <f>ROW()-ROW(budgetSummary[#Headers])</f>
        <v>93</v>
      </c>
      <c r="T110" s="60">
        <f>IF(budgetSummary[row] &lt;= numCategories +3, budgetSummary[row]-1, MOD(budgetSummary[row]-1,numCategories+3) + IF(MOD(budgetSummary[row]-2,numCategories+2)&gt;numCategories+1, 1,0))</f>
        <v>4</v>
      </c>
      <c r="U110" s="60">
        <f>IFERROR(INDEX(directors[Last],MAX(1,FLOOR((budgetSummary[row]-1)/(numCategories+3)+1,1))),1)</f>
        <v>0</v>
      </c>
    </row>
    <row r="111" spans="1:21" ht="15" customHeight="1" x14ac:dyDescent="0.25">
      <c r="A111"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Consumables</v>
      </c>
      <c r="B111" s="60">
        <f ca="1">INDEX(budgetCoG[],MATCH("Subtotal " &amp; budgetProjectPlan[[#This Row],[Category]],budgetCoG[Category],0),MATCH(budgetProjectPlan[[#Headers],[Milestone 1]],budgetCoG[#Headers],0))</f>
        <v>0</v>
      </c>
      <c r="C111" s="60">
        <f ca="1">INDEX(budgetCoG[],MATCH("Subtotal " &amp; budgetProjectPlan[[#This Row],[Category]],budgetCoG[Category],0),MATCH(budgetProjectPlan[[#Headers],[Milestone 2]],budgetCoG[#Headers],0))</f>
        <v>0</v>
      </c>
      <c r="D111" s="60">
        <f ca="1">INDEX(budgetCoG[],MATCH("Subtotal " &amp; budgetProjectPlan[[#This Row],[Category]],budgetCoG[Category],0),MATCH(budgetProjectPlan[[#Headers],[Milestone 3]],budgetCoG[#Headers],0))</f>
        <v>0</v>
      </c>
      <c r="E111" s="60">
        <f ca="1">INDEX(budgetCoG[],MATCH("Subtotal " &amp; budgetProjectPlan[[#This Row],[Category]],budgetCoG[Category],0),MATCH(budgetProjectPlan[[#Headers],[Milestone 4]],budgetCoG[#Headers],0))</f>
        <v>0</v>
      </c>
      <c r="F111" s="60">
        <f ca="1">INDEX(budgetCoG[],MATCH("Subtotal " &amp; budgetProjectPlan[[#This Row],[Category]],budgetCoG[Category],0),MATCH(budgetProjectPlan[[#Headers],[Final]],budgetCoG[#Headers],0))</f>
        <v>0</v>
      </c>
      <c r="G111" s="60">
        <f ca="1">SUM(budgetProjectPlan[[#This Row],[Milestone 1]:[Final]])</f>
        <v>0</v>
      </c>
      <c r="H111" s="60">
        <f>ROW()-ROW(budgetProjectPlan[#Headers])</f>
        <v>94</v>
      </c>
      <c r="I111" s="60">
        <f>IF(budgetProjectPlan[row] &lt;= numCategories +3, budgetProjectPlan[row]-1, MOD(budgetProjectPlan[row]-1,numCategories+3) + IF(MOD(budgetProjectPlan[row]-2,numCategories+2)&gt;numCategories+1, 1,0))</f>
        <v>5</v>
      </c>
      <c r="J111" s="60">
        <f>IFERROR(INDEX(directors[Last],MAX(1,FLOOR((budgetProjectPlan[row]-1)/(numCategories+3)+1,1))),1)</f>
        <v>0</v>
      </c>
      <c r="L111"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Consumables</v>
      </c>
      <c r="M111" s="85">
        <f ca="1">budgetProjectPlan[[#This Row],[Milestone 1]]</f>
        <v>0</v>
      </c>
      <c r="N111" s="85">
        <f ca="1">budgetProjectPlan[[#This Row],[Milestone 2]]</f>
        <v>0</v>
      </c>
      <c r="O111" s="85">
        <f ca="1">budgetProjectPlan[[#This Row],[Milestone 3]]</f>
        <v>0</v>
      </c>
      <c r="P111" s="85">
        <f ca="1">budgetProjectPlan[[#This Row],[Milestone 4]]</f>
        <v>0</v>
      </c>
      <c r="Q111" s="85">
        <f ca="1">budgetProjectPlan[[#This Row],[Final]]</f>
        <v>0</v>
      </c>
      <c r="R111" s="60">
        <f ca="1">SUM(budgetSummary[[#This Row],[Milestone 1]:[Final]])</f>
        <v>0</v>
      </c>
      <c r="S111" s="60">
        <f>ROW()-ROW(budgetSummary[#Headers])</f>
        <v>94</v>
      </c>
      <c r="T111" s="60">
        <f>IF(budgetSummary[row] &lt;= numCategories +3, budgetSummary[row]-1, MOD(budgetSummary[row]-1,numCategories+3) + IF(MOD(budgetSummary[row]-2,numCategories+2)&gt;numCategories+1, 1,0))</f>
        <v>5</v>
      </c>
      <c r="U111" s="60">
        <f>IFERROR(INDEX(directors[Last],MAX(1,FLOOR((budgetSummary[row]-1)/(numCategories+3)+1,1))),1)</f>
        <v>0</v>
      </c>
    </row>
    <row r="112" spans="1:21" ht="15" customHeight="1" x14ac:dyDescent="0.25">
      <c r="A112"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Other</v>
      </c>
      <c r="B112" s="60">
        <f ca="1">INDEX(budgetCoG[],MATCH("Subtotal " &amp; budgetProjectPlan[[#This Row],[Category]],budgetCoG[Category],0),MATCH(budgetProjectPlan[[#Headers],[Milestone 1]],budgetCoG[#Headers],0))</f>
        <v>0</v>
      </c>
      <c r="C112" s="60">
        <f ca="1">INDEX(budgetCoG[],MATCH("Subtotal " &amp; budgetProjectPlan[[#This Row],[Category]],budgetCoG[Category],0),MATCH(budgetProjectPlan[[#Headers],[Milestone 2]],budgetCoG[#Headers],0))</f>
        <v>0</v>
      </c>
      <c r="D112" s="60">
        <f ca="1">INDEX(budgetCoG[],MATCH("Subtotal " &amp; budgetProjectPlan[[#This Row],[Category]],budgetCoG[Category],0),MATCH(budgetProjectPlan[[#Headers],[Milestone 3]],budgetCoG[#Headers],0))</f>
        <v>0</v>
      </c>
      <c r="E112" s="60">
        <f ca="1">INDEX(budgetCoG[],MATCH("Subtotal " &amp; budgetProjectPlan[[#This Row],[Category]],budgetCoG[Category],0),MATCH(budgetProjectPlan[[#Headers],[Milestone 4]],budgetCoG[#Headers],0))</f>
        <v>0</v>
      </c>
      <c r="F112" s="60">
        <f ca="1">INDEX(budgetCoG[],MATCH("Subtotal " &amp; budgetProjectPlan[[#This Row],[Category]],budgetCoG[Category],0),MATCH(budgetProjectPlan[[#Headers],[Final]],budgetCoG[#Headers],0))</f>
        <v>0</v>
      </c>
      <c r="G112" s="60">
        <f ca="1">SUM(budgetProjectPlan[[#This Row],[Milestone 1]:[Final]])</f>
        <v>0</v>
      </c>
      <c r="H112" s="61">
        <f>ROW()-ROW(budgetProjectPlan[#Headers])</f>
        <v>95</v>
      </c>
      <c r="I112" s="61">
        <f>IF(budgetProjectPlan[row] &lt;= numCategories +3, budgetProjectPlan[row]-1, MOD(budgetProjectPlan[row]-1,numCategories+3) + IF(MOD(budgetProjectPlan[row]-2,numCategories+2)&gt;numCategories+1, 1,0))</f>
        <v>6</v>
      </c>
      <c r="J112" s="60">
        <f>IFERROR(INDEX(directors[Last],MAX(1,FLOOR((budgetProjectPlan[row]-1)/(numCategories+3)+1,1))),1)</f>
        <v>0</v>
      </c>
      <c r="L112"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Other</v>
      </c>
      <c r="M112" s="85">
        <f ca="1">budgetProjectPlan[[#This Row],[Milestone 1]]</f>
        <v>0</v>
      </c>
      <c r="N112" s="85">
        <f ca="1">budgetProjectPlan[[#This Row],[Milestone 2]]</f>
        <v>0</v>
      </c>
      <c r="O112" s="85">
        <f ca="1">budgetProjectPlan[[#This Row],[Milestone 3]]</f>
        <v>0</v>
      </c>
      <c r="P112" s="85">
        <f ca="1">budgetProjectPlan[[#This Row],[Milestone 4]]</f>
        <v>0</v>
      </c>
      <c r="Q112" s="85">
        <f ca="1">budgetProjectPlan[[#This Row],[Final]]</f>
        <v>0</v>
      </c>
      <c r="R112" s="60">
        <f ca="1">SUM(budgetSummary[[#This Row],[Milestone 1]:[Final]])</f>
        <v>0</v>
      </c>
      <c r="S112" s="61">
        <f>ROW()-ROW(budgetSummary[#Headers])</f>
        <v>95</v>
      </c>
      <c r="T112" s="60">
        <f>IF(budgetSummary[row] &lt;= numCategories +3, budgetSummary[row]-1, MOD(budgetSummary[row]-1,numCategories+3) + IF(MOD(budgetSummary[row]-2,numCategories+2)&gt;numCategories+1, 1,0))</f>
        <v>6</v>
      </c>
      <c r="U112" s="61">
        <f>IFERROR(INDEX(directors[Last],MAX(1,FLOOR((budgetSummary[row]-1)/(numCategories+3)+1,1))),1)</f>
        <v>0</v>
      </c>
    </row>
    <row r="113" spans="1:21" ht="15" customHeight="1" x14ac:dyDescent="0.25">
      <c r="A113"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Stipends</v>
      </c>
      <c r="B113" s="60">
        <f ca="1">INDEX(budgetCoG[],MATCH("Subtotal " &amp; budgetProjectPlan[[#This Row],[Category]],budgetCoG[Category],0),MATCH(budgetProjectPlan[[#Headers],[Milestone 1]],budgetCoG[#Headers],0))</f>
        <v>0</v>
      </c>
      <c r="C113" s="60">
        <f ca="1">INDEX(budgetCoG[],MATCH("Subtotal " &amp; budgetProjectPlan[[#This Row],[Category]],budgetCoG[Category],0),MATCH(budgetProjectPlan[[#Headers],[Milestone 2]],budgetCoG[#Headers],0))</f>
        <v>0</v>
      </c>
      <c r="D113" s="60">
        <f ca="1">INDEX(budgetCoG[],MATCH("Subtotal " &amp; budgetProjectPlan[[#This Row],[Category]],budgetCoG[Category],0),MATCH(budgetProjectPlan[[#Headers],[Milestone 3]],budgetCoG[#Headers],0))</f>
        <v>0</v>
      </c>
      <c r="E113" s="60">
        <f ca="1">INDEX(budgetCoG[],MATCH("Subtotal " &amp; budgetProjectPlan[[#This Row],[Category]],budgetCoG[Category],0),MATCH(budgetProjectPlan[[#Headers],[Milestone 4]],budgetCoG[#Headers],0))</f>
        <v>0</v>
      </c>
      <c r="F113" s="60">
        <f ca="1">INDEX(budgetCoG[],MATCH("Subtotal " &amp; budgetProjectPlan[[#This Row],[Category]],budgetCoG[Category],0),MATCH(budgetProjectPlan[[#Headers],[Final]],budgetCoG[#Headers],0))</f>
        <v>0</v>
      </c>
      <c r="G113" s="60">
        <f ca="1">SUM(budgetProjectPlan[[#This Row],[Milestone 1]:[Final]])</f>
        <v>0</v>
      </c>
      <c r="H113" s="61">
        <f>ROW()-ROW(budgetProjectPlan[#Headers])</f>
        <v>96</v>
      </c>
      <c r="I113" s="61">
        <f>IF(budgetProjectPlan[row] &lt;= numCategories +3, budgetProjectPlan[row]-1, MOD(budgetProjectPlan[row]-1,numCategories+3) + IF(MOD(budgetProjectPlan[row]-2,numCategories+2)&gt;numCategories+1, 1,0))</f>
        <v>7</v>
      </c>
      <c r="J113" s="60">
        <f>IFERROR(INDEX(directors[Last],MAX(1,FLOOR((budgetProjectPlan[row]-1)/(numCategories+3)+1,1))),1)</f>
        <v>0</v>
      </c>
      <c r="L113"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Stipends</v>
      </c>
      <c r="M113" s="85">
        <f ca="1">budgetProjectPlan[[#This Row],[Milestone 1]]</f>
        <v>0</v>
      </c>
      <c r="N113" s="85">
        <f ca="1">budgetProjectPlan[[#This Row],[Milestone 2]]</f>
        <v>0</v>
      </c>
      <c r="O113" s="85">
        <f ca="1">budgetProjectPlan[[#This Row],[Milestone 3]]</f>
        <v>0</v>
      </c>
      <c r="P113" s="85">
        <f ca="1">budgetProjectPlan[[#This Row],[Milestone 4]]</f>
        <v>0</v>
      </c>
      <c r="Q113" s="85">
        <f ca="1">budgetProjectPlan[[#This Row],[Final]]</f>
        <v>0</v>
      </c>
      <c r="R113" s="60">
        <f ca="1">SUM(budgetSummary[[#This Row],[Milestone 1]:[Final]])</f>
        <v>0</v>
      </c>
      <c r="S113" s="61">
        <f>ROW()-ROW(budgetSummary[#Headers])</f>
        <v>96</v>
      </c>
      <c r="T113" s="60">
        <f>IF(budgetSummary[row] &lt;= numCategories +3, budgetSummary[row]-1, MOD(budgetSummary[row]-1,numCategories+3) + IF(MOD(budgetSummary[row]-2,numCategories+2)&gt;numCategories+1, 1,0))</f>
        <v>7</v>
      </c>
      <c r="U113" s="61">
        <f>IFERROR(INDEX(directors[Last],MAX(1,FLOOR((budgetSummary[row]-1)/(numCategories+3)+1,1))),1)</f>
        <v>0</v>
      </c>
    </row>
    <row r="114" spans="1:21" ht="15" customHeight="1" x14ac:dyDescent="0.25">
      <c r="A114" s="60"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Co-financing of personnel</v>
      </c>
      <c r="B114" s="60">
        <f ca="1">INDEX(budgetCoG[],MATCH("Subtotal " &amp; budgetProjectPlan[[#This Row],[Category]],budgetCoG[Category],0),MATCH(budgetProjectPlan[[#Headers],[Milestone 1]],budgetCoG[#Headers],0))</f>
        <v>0</v>
      </c>
      <c r="C114" s="60">
        <f ca="1">INDEX(budgetCoG[],MATCH("Subtotal " &amp; budgetProjectPlan[[#This Row],[Category]],budgetCoG[Category],0),MATCH(budgetProjectPlan[[#Headers],[Milestone 2]],budgetCoG[#Headers],0))</f>
        <v>0</v>
      </c>
      <c r="D114" s="60">
        <f ca="1">INDEX(budgetCoG[],MATCH("Subtotal " &amp; budgetProjectPlan[[#This Row],[Category]],budgetCoG[Category],0),MATCH(budgetProjectPlan[[#Headers],[Milestone 3]],budgetCoG[#Headers],0))</f>
        <v>0</v>
      </c>
      <c r="E114" s="60">
        <f ca="1">INDEX(budgetCoG[],MATCH("Subtotal " &amp; budgetProjectPlan[[#This Row],[Category]],budgetCoG[Category],0),MATCH(budgetProjectPlan[[#Headers],[Milestone 4]],budgetCoG[#Headers],0))</f>
        <v>0</v>
      </c>
      <c r="F114" s="60">
        <f ca="1">INDEX(budgetCoG[],MATCH("Subtotal " &amp; budgetProjectPlan[[#This Row],[Category]],budgetCoG[Category],0),MATCH(budgetProjectPlan[[#Headers],[Final]],budgetCoG[#Headers],0))</f>
        <v>0</v>
      </c>
      <c r="G114" s="60">
        <f ca="1">SUM(budgetProjectPlan[[#This Row],[Milestone 1]:[Final]])</f>
        <v>0</v>
      </c>
      <c r="H114" s="60">
        <f>ROW()-ROW(budgetProjectPlan[#Headers])</f>
        <v>97</v>
      </c>
      <c r="I114" s="60">
        <f>IF(budgetProjectPlan[row] &lt;= numCategories +3, budgetProjectPlan[row]-1, MOD(budgetProjectPlan[row]-1,numCategories+3) + IF(MOD(budgetProjectPlan[row]-2,numCategories+2)&gt;numCategories+1, 1,0))</f>
        <v>8</v>
      </c>
      <c r="J114" s="60">
        <f>IFERROR(INDEX(directors[Last],MAX(1,FLOOR((budgetProjectPlan[row]-1)/(numCategories+3)+1,1))),1)</f>
        <v>0</v>
      </c>
      <c r="L114" s="60"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Co-financing of personnel</v>
      </c>
      <c r="M114" s="85">
        <f ca="1">budgetProjectPlan[[#This Row],[Milestone 1]]</f>
        <v>0</v>
      </c>
      <c r="N114" s="85">
        <f ca="1">budgetProjectPlan[[#This Row],[Milestone 2]]</f>
        <v>0</v>
      </c>
      <c r="O114" s="85">
        <f ca="1">budgetProjectPlan[[#This Row],[Milestone 3]]</f>
        <v>0</v>
      </c>
      <c r="P114" s="85">
        <f ca="1">budgetProjectPlan[[#This Row],[Milestone 4]]</f>
        <v>0</v>
      </c>
      <c r="Q114" s="85">
        <f ca="1">budgetProjectPlan[[#This Row],[Final]]</f>
        <v>0</v>
      </c>
      <c r="R114" s="60">
        <f ca="1">SUM(budgetSummary[[#This Row],[Milestone 1]:[Final]])</f>
        <v>0</v>
      </c>
      <c r="S114" s="60">
        <f>ROW()-ROW(budgetSummary[#Headers])</f>
        <v>97</v>
      </c>
      <c r="T114" s="60">
        <f>IF(budgetSummary[row] &lt;= numCategories +3, budgetSummary[row]-1, MOD(budgetSummary[row]-1,numCategories+3) + IF(MOD(budgetSummary[row]-2,numCategories+2)&gt;numCategories+1, 1,0))</f>
        <v>8</v>
      </c>
      <c r="U114" s="60">
        <f>IFERROR(INDEX(directors[Last],MAX(1,FLOOR((budgetSummary[row]-1)/(numCategories+3)+1,1))),1)</f>
        <v>0</v>
      </c>
    </row>
    <row r="115" spans="1:21" ht="15" customHeight="1" x14ac:dyDescent="0.25">
      <c r="A115"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Subtotal 0</v>
      </c>
      <c r="B115" s="60">
        <f ca="1">SUBTOTAL(9,B107:B114)</f>
        <v>0</v>
      </c>
      <c r="C115" s="60">
        <f t="shared" ref="C115:G115" ca="1" si="16">SUBTOTAL(9,C107:C114)</f>
        <v>0</v>
      </c>
      <c r="D115" s="60">
        <f t="shared" ca="1" si="16"/>
        <v>0</v>
      </c>
      <c r="E115" s="60">
        <f t="shared" ca="1" si="16"/>
        <v>0</v>
      </c>
      <c r="F115" s="60">
        <f t="shared" ca="1" si="16"/>
        <v>0</v>
      </c>
      <c r="G115" s="60">
        <f t="shared" ca="1" si="16"/>
        <v>0</v>
      </c>
      <c r="H115" s="61">
        <f>ROW()-ROW(budgetProjectPlan[#Headers])</f>
        <v>98</v>
      </c>
      <c r="I115" s="61">
        <f>IF(budgetProjectPlan[row] &lt;= numCategories +3, budgetProjectPlan[row]-1, MOD(budgetProjectPlan[row]-1,numCategories+3) + IF(MOD(budgetProjectPlan[row]-2,numCategories+2)&gt;numCategories+1, 1,0))</f>
        <v>9</v>
      </c>
      <c r="J115" s="60">
        <f>IFERROR(INDEX(directors[Last],MAX(1,FLOOR((budgetProjectPlan[row]-1)/(numCategories+3)+1,1))),1)</f>
        <v>0</v>
      </c>
      <c r="L115"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Subtotal 0</v>
      </c>
      <c r="M115" s="85">
        <f ca="1">SUBTOTAL(9,M107:M114)</f>
        <v>0</v>
      </c>
      <c r="N115" s="85">
        <f t="shared" ref="N115:Q115" ca="1" si="17">SUBTOTAL(9,N107:N114)</f>
        <v>0</v>
      </c>
      <c r="O115" s="85">
        <f t="shared" ca="1" si="17"/>
        <v>0</v>
      </c>
      <c r="P115" s="85">
        <f t="shared" ca="1" si="17"/>
        <v>0</v>
      </c>
      <c r="Q115" s="85">
        <f t="shared" ca="1" si="17"/>
        <v>0</v>
      </c>
      <c r="R115" s="61">
        <f ca="1">SUM(budgetSummary[[#This Row],[Milestone 1]:[Final]])</f>
        <v>0</v>
      </c>
      <c r="S115" s="61">
        <f>ROW()-ROW(budgetSummary[#Headers])</f>
        <v>98</v>
      </c>
      <c r="T115" s="60">
        <f>IF(budgetSummary[row] &lt;= numCategories +3, budgetSummary[row]-1, MOD(budgetSummary[row]-1,numCategories+3) + IF(MOD(budgetSummary[row]-2,numCategories+2)&gt;numCategories+1, 1,0))</f>
        <v>9</v>
      </c>
      <c r="U115" s="61">
        <f>IFERROR(INDEX(directors[Last],MAX(1,FLOOR((budgetSummary[row]-1)/(numCategories+3)+1,1))),1)</f>
        <v>0</v>
      </c>
    </row>
    <row r="116" spans="1:21" ht="15" customHeight="1" x14ac:dyDescent="0.25">
      <c r="A116"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c>
      <c r="G116" s="61"/>
      <c r="H116" s="61">
        <f>ROW()-ROW(budgetProjectPlan[#Headers])</f>
        <v>99</v>
      </c>
      <c r="I116" s="61">
        <f>IF(budgetProjectPlan[row] &lt;= numCategories +3, budgetProjectPlan[row]-1, MOD(budgetProjectPlan[row]-1,numCategories+3) + IF(MOD(budgetProjectPlan[row]-2,numCategories+2)&gt;numCategories+1, 1,0))</f>
        <v>10</v>
      </c>
      <c r="J116" s="60">
        <f>IFERROR(INDEX(directors[Last],MAX(1,FLOOR((budgetProjectPlan[row]-1)/(numCategories+3)+1,1))),1)</f>
        <v>0</v>
      </c>
      <c r="L116"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c>
      <c r="M116" s="85"/>
      <c r="N116" s="85"/>
      <c r="O116" s="85"/>
      <c r="P116" s="85"/>
      <c r="Q116" s="85"/>
      <c r="R116" s="61"/>
      <c r="S116" s="61">
        <f>ROW()-ROW(budgetSummary[#Headers])</f>
        <v>99</v>
      </c>
      <c r="T116" s="60">
        <f>IF(budgetSummary[row] &lt;= numCategories +3, budgetSummary[row]-1, MOD(budgetSummary[row]-1,numCategories+3) + IF(MOD(budgetSummary[row]-2,numCategories+2)&gt;numCategories+1, 1,0))</f>
        <v>10</v>
      </c>
      <c r="U116" s="61">
        <f>IFERROR(INDEX(directors[Last],MAX(1,FLOOR((budgetSummary[row]-1)/(numCategories+3)+1,1))),1)</f>
        <v>0</v>
      </c>
    </row>
    <row r="117" spans="1:21" ht="15" customHeight="1" x14ac:dyDescent="0.25">
      <c r="A117"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xml:space="preserve">0 / </v>
      </c>
      <c r="H117" s="61">
        <f>ROW()-ROW(budgetProjectPlan[#Headers])</f>
        <v>100</v>
      </c>
      <c r="I117" s="61">
        <f>IF(budgetProjectPlan[row] &lt;= numCategories +3, budgetProjectPlan[row]-1, MOD(budgetProjectPlan[row]-1,numCategories+3) + IF(MOD(budgetProjectPlan[row]-2,numCategories+2)&gt;numCategories+1, 1,0))</f>
        <v>0</v>
      </c>
      <c r="J117" s="60">
        <f>IFERROR(INDEX(directors[Last],MAX(1,FLOOR((budgetProjectPlan[row]-1)/(numCategories+3)+1,1))),1)</f>
        <v>0</v>
      </c>
      <c r="L117"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xml:space="preserve">0 / </v>
      </c>
      <c r="S117" s="61">
        <f>ROW()-ROW(budgetSummary[#Headers])</f>
        <v>100</v>
      </c>
      <c r="T117" s="60">
        <f>IF(budgetSummary[row] &lt;= numCategories +3, budgetSummary[row]-1, MOD(budgetSummary[row]-1,numCategories+3) + IF(MOD(budgetSummary[row]-2,numCategories+2)&gt;numCategories+1, 1,0))</f>
        <v>0</v>
      </c>
      <c r="U117" s="61">
        <f>IFERROR(INDEX(directors[Last],MAX(1,FLOOR((budgetSummary[row]-1)/(numCategories+3)+1,1))),1)</f>
        <v>0</v>
      </c>
    </row>
    <row r="118" spans="1:21" x14ac:dyDescent="0.25">
      <c r="A118"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Equipment</v>
      </c>
      <c r="B118" s="61">
        <f ca="1">INDEX(budgetCoH[],MATCH("Subtotal " &amp; budgetProjectPlan[[#This Row],[Category]],budgetCoH[Category],0),MATCH(budgetProjectPlan[[#Headers],[Milestone 1]],budgetCoH[#Headers],0))</f>
        <v>0</v>
      </c>
      <c r="C118" s="61">
        <f ca="1">INDEX(budgetCoH[],MATCH("Subtotal " &amp; budgetProjectPlan[[#This Row],[Category]],budgetCoH[Category],0),MATCH(budgetProjectPlan[[#Headers],[Milestone 2]],budgetCoH[#Headers],0))</f>
        <v>0</v>
      </c>
      <c r="D118" s="61">
        <f ca="1">INDEX(budgetCoH[],MATCH("Subtotal " &amp; budgetProjectPlan[[#This Row],[Category]],budgetCoH[Category],0),MATCH(budgetProjectPlan[[#Headers],[Milestone 3]],budgetCoH[#Headers],0))</f>
        <v>0</v>
      </c>
      <c r="E118" s="61">
        <f ca="1">INDEX(budgetCoH[],MATCH("Subtotal " &amp; budgetProjectPlan[[#This Row],[Category]],budgetCoH[Category],0),MATCH(budgetProjectPlan[[#Headers],[Milestone 4]],budgetCoH[#Headers],0))</f>
        <v>0</v>
      </c>
      <c r="F118" s="61">
        <f ca="1">INDEX(budgetCoH[],MATCH("Subtotal " &amp; budgetProjectPlan[[#This Row],[Category]],budgetCoH[Category],0),MATCH(budgetProjectPlan[[#Headers],[Final]],budgetCoH[#Headers],0))</f>
        <v>0</v>
      </c>
      <c r="G118" s="61">
        <f ca="1">SUM(budgetProjectPlan[[#This Row],[Milestone 1]:[Final]])</f>
        <v>0</v>
      </c>
      <c r="H118" s="61">
        <f>ROW()-ROW(budgetProjectPlan[#Headers])</f>
        <v>101</v>
      </c>
      <c r="I118" s="61">
        <f>IF(budgetProjectPlan[row] &lt;= numCategories +3, budgetProjectPlan[row]-1, MOD(budgetProjectPlan[row]-1,numCategories+3) + IF(MOD(budgetProjectPlan[row]-2,numCategories+2)&gt;numCategories+1, 1,0))</f>
        <v>1</v>
      </c>
      <c r="J118" s="60">
        <f>IFERROR(INDEX(directors[Last],MAX(1,FLOOR((budgetProjectPlan[row]-1)/(numCategories+3)+1,1))),1)</f>
        <v>0</v>
      </c>
      <c r="L118"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Equipment</v>
      </c>
      <c r="M118" s="85">
        <f ca="1">budgetProjectPlan[[#This Row],[Milestone 1]]</f>
        <v>0</v>
      </c>
      <c r="N118" s="85">
        <f ca="1">budgetProjectPlan[[#This Row],[Milestone 2]]</f>
        <v>0</v>
      </c>
      <c r="O118" s="85">
        <f ca="1">budgetProjectPlan[[#This Row],[Milestone 3]]</f>
        <v>0</v>
      </c>
      <c r="P118" s="85">
        <f ca="1">budgetProjectPlan[[#This Row],[Milestone 4]]</f>
        <v>0</v>
      </c>
      <c r="Q118" s="85">
        <f ca="1">budgetProjectPlan[[#This Row],[Final]]</f>
        <v>0</v>
      </c>
      <c r="R118" s="61">
        <f ca="1">SUM(budgetSummary[[#This Row],[Milestone 1]:[Final]])</f>
        <v>0</v>
      </c>
      <c r="S118" s="61">
        <f>ROW()-ROW(budgetSummary[#Headers])</f>
        <v>101</v>
      </c>
      <c r="T118" s="61">
        <f>IF(budgetSummary[row] &lt;= numCategories +3, budgetSummary[row]-1, MOD(budgetSummary[row]-1,numCategories+3) + IF(MOD(budgetSummary[row]-2,numCategories+2)&gt;numCategories+1, 1,0))</f>
        <v>1</v>
      </c>
      <c r="U118" s="61">
        <f>IFERROR(INDEX(directors[Last],MAX(1,FLOOR((budgetSummary[row]-1)/(numCategories+3)+1,1))),1)</f>
        <v>0</v>
      </c>
    </row>
    <row r="119" spans="1:21" x14ac:dyDescent="0.25">
      <c r="A119"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Training</v>
      </c>
      <c r="B119" s="61">
        <f ca="1">INDEX(budgetCoH[],MATCH("Subtotal " &amp; budgetProjectPlan[[#This Row],[Category]],budgetCoH[Category],0),MATCH(budgetProjectPlan[[#Headers],[Milestone 1]],budgetCoH[#Headers],0))</f>
        <v>0</v>
      </c>
      <c r="C119" s="61">
        <f ca="1">INDEX(budgetCoH[],MATCH("Subtotal " &amp; budgetProjectPlan[[#This Row],[Category]],budgetCoH[Category],0),MATCH(budgetProjectPlan[[#Headers],[Milestone 2]],budgetCoH[#Headers],0))</f>
        <v>0</v>
      </c>
      <c r="D119" s="61">
        <f ca="1">INDEX(budgetCoH[],MATCH("Subtotal " &amp; budgetProjectPlan[[#This Row],[Category]],budgetCoH[Category],0),MATCH(budgetProjectPlan[[#Headers],[Milestone 3]],budgetCoH[#Headers],0))</f>
        <v>0</v>
      </c>
      <c r="E119" s="61">
        <f ca="1">INDEX(budgetCoH[],MATCH("Subtotal " &amp; budgetProjectPlan[[#This Row],[Category]],budgetCoH[Category],0),MATCH(budgetProjectPlan[[#Headers],[Milestone 4]],budgetCoH[#Headers],0))</f>
        <v>0</v>
      </c>
      <c r="F119" s="61">
        <f ca="1">INDEX(budgetCoH[],MATCH("Subtotal " &amp; budgetProjectPlan[[#This Row],[Category]],budgetCoH[Category],0),MATCH(budgetProjectPlan[[#Headers],[Final]],budgetCoH[#Headers],0))</f>
        <v>0</v>
      </c>
      <c r="G119" s="61">
        <f ca="1">SUM(budgetProjectPlan[[#This Row],[Milestone 1]:[Final]])</f>
        <v>0</v>
      </c>
      <c r="H119" s="61">
        <f>ROW()-ROW(budgetProjectPlan[#Headers])</f>
        <v>102</v>
      </c>
      <c r="I119" s="61">
        <f>IF(budgetProjectPlan[row] &lt;= numCategories +3, budgetProjectPlan[row]-1, MOD(budgetProjectPlan[row]-1,numCategories+3) + IF(MOD(budgetProjectPlan[row]-2,numCategories+2)&gt;numCategories+1, 1,0))</f>
        <v>2</v>
      </c>
      <c r="J119" s="60">
        <f>IFERROR(INDEX(directors[Last],MAX(1,FLOOR((budgetProjectPlan[row]-1)/(numCategories+3)+1,1))),1)</f>
        <v>0</v>
      </c>
      <c r="L119"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Training</v>
      </c>
      <c r="M119" s="85">
        <f ca="1">budgetProjectPlan[[#This Row],[Milestone 1]]</f>
        <v>0</v>
      </c>
      <c r="N119" s="85">
        <f ca="1">budgetProjectPlan[[#This Row],[Milestone 2]]</f>
        <v>0</v>
      </c>
      <c r="O119" s="85">
        <f ca="1">budgetProjectPlan[[#This Row],[Milestone 3]]</f>
        <v>0</v>
      </c>
      <c r="P119" s="85">
        <f ca="1">budgetProjectPlan[[#This Row],[Milestone 4]]</f>
        <v>0</v>
      </c>
      <c r="Q119" s="85">
        <f ca="1">budgetProjectPlan[[#This Row],[Final]]</f>
        <v>0</v>
      </c>
      <c r="R119" s="61">
        <f ca="1">SUM(budgetSummary[[#This Row],[Milestone 1]:[Final]])</f>
        <v>0</v>
      </c>
      <c r="S119" s="61">
        <f>ROW()-ROW(budgetSummary[#Headers])</f>
        <v>102</v>
      </c>
      <c r="T119" s="61">
        <f>IF(budgetSummary[row] &lt;= numCategories +3, budgetSummary[row]-1, MOD(budgetSummary[row]-1,numCategories+3) + IF(MOD(budgetSummary[row]-2,numCategories+2)&gt;numCategories+1, 1,0))</f>
        <v>2</v>
      </c>
      <c r="U119" s="61">
        <f>IFERROR(INDEX(directors[Last],MAX(1,FLOOR((budgetSummary[row]-1)/(numCategories+3)+1,1))),1)</f>
        <v>0</v>
      </c>
    </row>
    <row r="120" spans="1:21" x14ac:dyDescent="0.25">
      <c r="A120"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Communication &amp; Publication</v>
      </c>
      <c r="B120" s="61">
        <f ca="1">INDEX(budgetCoH[],MATCH("Subtotal " &amp; budgetProjectPlan[[#This Row],[Category]],budgetCoH[Category],0),MATCH(budgetProjectPlan[[#Headers],[Milestone 1]],budgetCoH[#Headers],0))</f>
        <v>0</v>
      </c>
      <c r="C120" s="61">
        <f ca="1">INDEX(budgetCoH[],MATCH("Subtotal " &amp; budgetProjectPlan[[#This Row],[Category]],budgetCoH[Category],0),MATCH(budgetProjectPlan[[#Headers],[Milestone 2]],budgetCoH[#Headers],0))</f>
        <v>0</v>
      </c>
      <c r="D120" s="61">
        <f ca="1">INDEX(budgetCoH[],MATCH("Subtotal " &amp; budgetProjectPlan[[#This Row],[Category]],budgetCoH[Category],0),MATCH(budgetProjectPlan[[#Headers],[Milestone 3]],budgetCoH[#Headers],0))</f>
        <v>0</v>
      </c>
      <c r="E120" s="61">
        <f ca="1">INDEX(budgetCoH[],MATCH("Subtotal " &amp; budgetProjectPlan[[#This Row],[Category]],budgetCoH[Category],0),MATCH(budgetProjectPlan[[#Headers],[Milestone 4]],budgetCoH[#Headers],0))</f>
        <v>0</v>
      </c>
      <c r="F120" s="61">
        <f ca="1">INDEX(budgetCoH[],MATCH("Subtotal " &amp; budgetProjectPlan[[#This Row],[Category]],budgetCoH[Category],0),MATCH(budgetProjectPlan[[#Headers],[Final]],budgetCoH[#Headers],0))</f>
        <v>0</v>
      </c>
      <c r="G120" s="61">
        <f ca="1">SUM(budgetProjectPlan[[#This Row],[Milestone 1]:[Final]])</f>
        <v>0</v>
      </c>
      <c r="H120" s="61">
        <f>ROW()-ROW(budgetProjectPlan[#Headers])</f>
        <v>103</v>
      </c>
      <c r="I120" s="61">
        <f>IF(budgetProjectPlan[row] &lt;= numCategories +3, budgetProjectPlan[row]-1, MOD(budgetProjectPlan[row]-1,numCategories+3) + IF(MOD(budgetProjectPlan[row]-2,numCategories+2)&gt;numCategories+1, 1,0))</f>
        <v>3</v>
      </c>
      <c r="J120" s="60">
        <f>IFERROR(INDEX(directors[Last],MAX(1,FLOOR((budgetProjectPlan[row]-1)/(numCategories+3)+1,1))),1)</f>
        <v>0</v>
      </c>
      <c r="L120"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Communication &amp; Publication</v>
      </c>
      <c r="M120" s="85">
        <f ca="1">budgetProjectPlan[[#This Row],[Milestone 1]]</f>
        <v>0</v>
      </c>
      <c r="N120" s="85">
        <f ca="1">budgetProjectPlan[[#This Row],[Milestone 2]]</f>
        <v>0</v>
      </c>
      <c r="O120" s="85">
        <f ca="1">budgetProjectPlan[[#This Row],[Milestone 3]]</f>
        <v>0</v>
      </c>
      <c r="P120" s="85">
        <f ca="1">budgetProjectPlan[[#This Row],[Milestone 4]]</f>
        <v>0</v>
      </c>
      <c r="Q120" s="85">
        <f ca="1">budgetProjectPlan[[#This Row],[Final]]</f>
        <v>0</v>
      </c>
      <c r="R120" s="61">
        <f ca="1">SUM(budgetSummary[[#This Row],[Milestone 1]:[Final]])</f>
        <v>0</v>
      </c>
      <c r="S120" s="61">
        <f>ROW()-ROW(budgetSummary[#Headers])</f>
        <v>103</v>
      </c>
      <c r="T120" s="61">
        <f>IF(budgetSummary[row] &lt;= numCategories +3, budgetSummary[row]-1, MOD(budgetSummary[row]-1,numCategories+3) + IF(MOD(budgetSummary[row]-2,numCategories+2)&gt;numCategories+1, 1,0))</f>
        <v>3</v>
      </c>
      <c r="U120" s="61">
        <f>IFERROR(INDEX(directors[Last],MAX(1,FLOOR((budgetSummary[row]-1)/(numCategories+3)+1,1))),1)</f>
        <v>0</v>
      </c>
    </row>
    <row r="121" spans="1:21" x14ac:dyDescent="0.25">
      <c r="A121"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Travel</v>
      </c>
      <c r="B121" s="61">
        <f ca="1">INDEX(budgetCoH[],MATCH("Subtotal " &amp; budgetProjectPlan[[#This Row],[Category]],budgetCoH[Category],0),MATCH(budgetProjectPlan[[#Headers],[Milestone 1]],budgetCoH[#Headers],0))</f>
        <v>0</v>
      </c>
      <c r="C121" s="61">
        <f ca="1">INDEX(budgetCoH[],MATCH("Subtotal " &amp; budgetProjectPlan[[#This Row],[Category]],budgetCoH[Category],0),MATCH(budgetProjectPlan[[#Headers],[Milestone 2]],budgetCoH[#Headers],0))</f>
        <v>0</v>
      </c>
      <c r="D121" s="61">
        <f ca="1">INDEX(budgetCoH[],MATCH("Subtotal " &amp; budgetProjectPlan[[#This Row],[Category]],budgetCoH[Category],0),MATCH(budgetProjectPlan[[#Headers],[Milestone 3]],budgetCoH[#Headers],0))</f>
        <v>0</v>
      </c>
      <c r="E121" s="61">
        <f ca="1">INDEX(budgetCoH[],MATCH("Subtotal " &amp; budgetProjectPlan[[#This Row],[Category]],budgetCoH[Category],0),MATCH(budgetProjectPlan[[#Headers],[Milestone 4]],budgetCoH[#Headers],0))</f>
        <v>0</v>
      </c>
      <c r="F121" s="61">
        <f ca="1">INDEX(budgetCoH[],MATCH("Subtotal " &amp; budgetProjectPlan[[#This Row],[Category]],budgetCoH[Category],0),MATCH(budgetProjectPlan[[#Headers],[Final]],budgetCoH[#Headers],0))</f>
        <v>0</v>
      </c>
      <c r="G121" s="61">
        <f ca="1">SUM(budgetProjectPlan[[#This Row],[Milestone 1]:[Final]])</f>
        <v>0</v>
      </c>
      <c r="H121" s="61">
        <f>ROW()-ROW(budgetProjectPlan[#Headers])</f>
        <v>104</v>
      </c>
      <c r="I121" s="61">
        <f>IF(budgetProjectPlan[row] &lt;= numCategories +3, budgetProjectPlan[row]-1, MOD(budgetProjectPlan[row]-1,numCategories+3) + IF(MOD(budgetProjectPlan[row]-2,numCategories+2)&gt;numCategories+1, 1,0))</f>
        <v>4</v>
      </c>
      <c r="J121" s="60">
        <f>IFERROR(INDEX(directors[Last],MAX(1,FLOOR((budgetProjectPlan[row]-1)/(numCategories+3)+1,1))),1)</f>
        <v>0</v>
      </c>
      <c r="L121"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Travel</v>
      </c>
      <c r="M121" s="85">
        <f ca="1">budgetProjectPlan[[#This Row],[Milestone 1]]</f>
        <v>0</v>
      </c>
      <c r="N121" s="85">
        <f ca="1">budgetProjectPlan[[#This Row],[Milestone 2]]</f>
        <v>0</v>
      </c>
      <c r="O121" s="85">
        <f ca="1">budgetProjectPlan[[#This Row],[Milestone 3]]</f>
        <v>0</v>
      </c>
      <c r="P121" s="85">
        <f ca="1">budgetProjectPlan[[#This Row],[Milestone 4]]</f>
        <v>0</v>
      </c>
      <c r="Q121" s="85">
        <f ca="1">budgetProjectPlan[[#This Row],[Final]]</f>
        <v>0</v>
      </c>
      <c r="R121" s="61">
        <f ca="1">SUM(budgetSummary[[#This Row],[Milestone 1]:[Final]])</f>
        <v>0</v>
      </c>
      <c r="S121" s="61">
        <f>ROW()-ROW(budgetSummary[#Headers])</f>
        <v>104</v>
      </c>
      <c r="T121" s="61">
        <f>IF(budgetSummary[row] &lt;= numCategories +3, budgetSummary[row]-1, MOD(budgetSummary[row]-1,numCategories+3) + IF(MOD(budgetSummary[row]-2,numCategories+2)&gt;numCategories+1, 1,0))</f>
        <v>4</v>
      </c>
      <c r="U121" s="61">
        <f>IFERROR(INDEX(directors[Last],MAX(1,FLOOR((budgetSummary[row]-1)/(numCategories+3)+1,1))),1)</f>
        <v>0</v>
      </c>
    </row>
    <row r="122" spans="1:21" x14ac:dyDescent="0.25">
      <c r="A122"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Consumables</v>
      </c>
      <c r="B122" s="61">
        <f ca="1">INDEX(budgetCoH[],MATCH("Subtotal " &amp; budgetProjectPlan[[#This Row],[Category]],budgetCoH[Category],0),MATCH(budgetProjectPlan[[#Headers],[Milestone 1]],budgetCoH[#Headers],0))</f>
        <v>0</v>
      </c>
      <c r="C122" s="61">
        <f ca="1">INDEX(budgetCoH[],MATCH("Subtotal " &amp; budgetProjectPlan[[#This Row],[Category]],budgetCoH[Category],0),MATCH(budgetProjectPlan[[#Headers],[Milestone 2]],budgetCoH[#Headers],0))</f>
        <v>0</v>
      </c>
      <c r="D122" s="61">
        <f ca="1">INDEX(budgetCoH[],MATCH("Subtotal " &amp; budgetProjectPlan[[#This Row],[Category]],budgetCoH[Category],0),MATCH(budgetProjectPlan[[#Headers],[Milestone 3]],budgetCoH[#Headers],0))</f>
        <v>0</v>
      </c>
      <c r="E122" s="61">
        <f ca="1">INDEX(budgetCoH[],MATCH("Subtotal " &amp; budgetProjectPlan[[#This Row],[Category]],budgetCoH[Category],0),MATCH(budgetProjectPlan[[#Headers],[Milestone 4]],budgetCoH[#Headers],0))</f>
        <v>0</v>
      </c>
      <c r="F122" s="61">
        <f ca="1">INDEX(budgetCoH[],MATCH("Subtotal " &amp; budgetProjectPlan[[#This Row],[Category]],budgetCoH[Category],0),MATCH(budgetProjectPlan[[#Headers],[Final]],budgetCoH[#Headers],0))</f>
        <v>0</v>
      </c>
      <c r="G122" s="61">
        <f ca="1">SUM(budgetProjectPlan[[#This Row],[Milestone 1]:[Final]])</f>
        <v>0</v>
      </c>
      <c r="H122" s="61">
        <f>ROW()-ROW(budgetProjectPlan[#Headers])</f>
        <v>105</v>
      </c>
      <c r="I122" s="61">
        <f>IF(budgetProjectPlan[row] &lt;= numCategories +3, budgetProjectPlan[row]-1, MOD(budgetProjectPlan[row]-1,numCategories+3) + IF(MOD(budgetProjectPlan[row]-2,numCategories+2)&gt;numCategories+1, 1,0))</f>
        <v>5</v>
      </c>
      <c r="J122" s="60">
        <f>IFERROR(INDEX(directors[Last],MAX(1,FLOOR((budgetProjectPlan[row]-1)/(numCategories+3)+1,1))),1)</f>
        <v>0</v>
      </c>
      <c r="L122"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Consumables</v>
      </c>
      <c r="M122" s="85">
        <f ca="1">budgetProjectPlan[[#This Row],[Milestone 1]]</f>
        <v>0</v>
      </c>
      <c r="N122" s="85">
        <f ca="1">budgetProjectPlan[[#This Row],[Milestone 2]]</f>
        <v>0</v>
      </c>
      <c r="O122" s="85">
        <f ca="1">budgetProjectPlan[[#This Row],[Milestone 3]]</f>
        <v>0</v>
      </c>
      <c r="P122" s="85">
        <f ca="1">budgetProjectPlan[[#This Row],[Milestone 4]]</f>
        <v>0</v>
      </c>
      <c r="Q122" s="85">
        <f ca="1">budgetProjectPlan[[#This Row],[Final]]</f>
        <v>0</v>
      </c>
      <c r="R122" s="61">
        <f ca="1">SUM(budgetSummary[[#This Row],[Milestone 1]:[Final]])</f>
        <v>0</v>
      </c>
      <c r="S122" s="61">
        <f>ROW()-ROW(budgetSummary[#Headers])</f>
        <v>105</v>
      </c>
      <c r="T122" s="61">
        <f>IF(budgetSummary[row] &lt;= numCategories +3, budgetSummary[row]-1, MOD(budgetSummary[row]-1,numCategories+3) + IF(MOD(budgetSummary[row]-2,numCategories+2)&gt;numCategories+1, 1,0))</f>
        <v>5</v>
      </c>
      <c r="U122" s="61">
        <f>IFERROR(INDEX(directors[Last],MAX(1,FLOOR((budgetSummary[row]-1)/(numCategories+3)+1,1))),1)</f>
        <v>0</v>
      </c>
    </row>
    <row r="123" spans="1:21" x14ac:dyDescent="0.25">
      <c r="A123"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Other</v>
      </c>
      <c r="B123" s="61">
        <f ca="1">INDEX(budgetCoH[],MATCH("Subtotal " &amp; budgetProjectPlan[[#This Row],[Category]],budgetCoH[Category],0),MATCH(budgetProjectPlan[[#Headers],[Milestone 1]],budgetCoH[#Headers],0))</f>
        <v>0</v>
      </c>
      <c r="C123" s="61">
        <f ca="1">INDEX(budgetCoH[],MATCH("Subtotal " &amp; budgetProjectPlan[[#This Row],[Category]],budgetCoH[Category],0),MATCH(budgetProjectPlan[[#Headers],[Milestone 2]],budgetCoH[#Headers],0))</f>
        <v>0</v>
      </c>
      <c r="D123" s="61">
        <f ca="1">INDEX(budgetCoH[],MATCH("Subtotal " &amp; budgetProjectPlan[[#This Row],[Category]],budgetCoH[Category],0),MATCH(budgetProjectPlan[[#Headers],[Milestone 3]],budgetCoH[#Headers],0))</f>
        <v>0</v>
      </c>
      <c r="E123" s="61">
        <f ca="1">INDEX(budgetCoH[],MATCH("Subtotal " &amp; budgetProjectPlan[[#This Row],[Category]],budgetCoH[Category],0),MATCH(budgetProjectPlan[[#Headers],[Milestone 4]],budgetCoH[#Headers],0))</f>
        <v>0</v>
      </c>
      <c r="F123" s="61">
        <f ca="1">INDEX(budgetCoH[],MATCH("Subtotal " &amp; budgetProjectPlan[[#This Row],[Category]],budgetCoH[Category],0),MATCH(budgetProjectPlan[[#Headers],[Final]],budgetCoH[#Headers],0))</f>
        <v>0</v>
      </c>
      <c r="G123" s="61">
        <f ca="1">SUM(budgetProjectPlan[[#This Row],[Milestone 1]:[Final]])</f>
        <v>0</v>
      </c>
      <c r="H123" s="61">
        <f>ROW()-ROW(budgetProjectPlan[#Headers])</f>
        <v>106</v>
      </c>
      <c r="I123" s="61">
        <f>IF(budgetProjectPlan[row] &lt;= numCategories +3, budgetProjectPlan[row]-1, MOD(budgetProjectPlan[row]-1,numCategories+3) + IF(MOD(budgetProjectPlan[row]-2,numCategories+2)&gt;numCategories+1, 1,0))</f>
        <v>6</v>
      </c>
      <c r="J123" s="60">
        <f>IFERROR(INDEX(directors[Last],MAX(1,FLOOR((budgetProjectPlan[row]-1)/(numCategories+3)+1,1))),1)</f>
        <v>0</v>
      </c>
      <c r="L123"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Other</v>
      </c>
      <c r="M123" s="85">
        <f ca="1">budgetProjectPlan[[#This Row],[Milestone 1]]</f>
        <v>0</v>
      </c>
      <c r="N123" s="85">
        <f ca="1">budgetProjectPlan[[#This Row],[Milestone 2]]</f>
        <v>0</v>
      </c>
      <c r="O123" s="85">
        <f ca="1">budgetProjectPlan[[#This Row],[Milestone 3]]</f>
        <v>0</v>
      </c>
      <c r="P123" s="85">
        <f ca="1">budgetProjectPlan[[#This Row],[Milestone 4]]</f>
        <v>0</v>
      </c>
      <c r="Q123" s="85">
        <f ca="1">budgetProjectPlan[[#This Row],[Final]]</f>
        <v>0</v>
      </c>
      <c r="R123" s="61">
        <f ca="1">SUM(budgetSummary[[#This Row],[Milestone 1]:[Final]])</f>
        <v>0</v>
      </c>
      <c r="S123" s="61">
        <f>ROW()-ROW(budgetSummary[#Headers])</f>
        <v>106</v>
      </c>
      <c r="T123" s="61">
        <f>IF(budgetSummary[row] &lt;= numCategories +3, budgetSummary[row]-1, MOD(budgetSummary[row]-1,numCategories+3) + IF(MOD(budgetSummary[row]-2,numCategories+2)&gt;numCategories+1, 1,0))</f>
        <v>6</v>
      </c>
      <c r="U123" s="61">
        <f>IFERROR(INDEX(directors[Last],MAX(1,FLOOR((budgetSummary[row]-1)/(numCategories+3)+1,1))),1)</f>
        <v>0</v>
      </c>
    </row>
    <row r="124" spans="1:21" x14ac:dyDescent="0.25">
      <c r="A124"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Stipends</v>
      </c>
      <c r="B124" s="61">
        <f ca="1">INDEX(budgetCoH[],MATCH("Subtotal " &amp; budgetProjectPlan[[#This Row],[Category]],budgetCoH[Category],0),MATCH(budgetProjectPlan[[#Headers],[Milestone 1]],budgetCoH[#Headers],0))</f>
        <v>0</v>
      </c>
      <c r="C124" s="61">
        <f ca="1">INDEX(budgetCoH[],MATCH("Subtotal " &amp; budgetProjectPlan[[#This Row],[Category]],budgetCoH[Category],0),MATCH(budgetProjectPlan[[#Headers],[Milestone 2]],budgetCoH[#Headers],0))</f>
        <v>0</v>
      </c>
      <c r="D124" s="61">
        <f ca="1">INDEX(budgetCoH[],MATCH("Subtotal " &amp; budgetProjectPlan[[#This Row],[Category]],budgetCoH[Category],0),MATCH(budgetProjectPlan[[#Headers],[Milestone 3]],budgetCoH[#Headers],0))</f>
        <v>0</v>
      </c>
      <c r="E124" s="61">
        <f ca="1">INDEX(budgetCoH[],MATCH("Subtotal " &amp; budgetProjectPlan[[#This Row],[Category]],budgetCoH[Category],0),MATCH(budgetProjectPlan[[#Headers],[Milestone 4]],budgetCoH[#Headers],0))</f>
        <v>0</v>
      </c>
      <c r="F124" s="61">
        <f ca="1">INDEX(budgetCoH[],MATCH("Subtotal " &amp; budgetProjectPlan[[#This Row],[Category]],budgetCoH[Category],0),MATCH(budgetProjectPlan[[#Headers],[Final]],budgetCoH[#Headers],0))</f>
        <v>0</v>
      </c>
      <c r="G124" s="61">
        <f ca="1">SUM(budgetProjectPlan[[#This Row],[Milestone 1]:[Final]])</f>
        <v>0</v>
      </c>
      <c r="H124" s="61">
        <f>ROW()-ROW(budgetProjectPlan[#Headers])</f>
        <v>107</v>
      </c>
      <c r="I124" s="61">
        <f>IF(budgetProjectPlan[row] &lt;= numCategories +3, budgetProjectPlan[row]-1, MOD(budgetProjectPlan[row]-1,numCategories+3) + IF(MOD(budgetProjectPlan[row]-2,numCategories+2)&gt;numCategories+1, 1,0))</f>
        <v>7</v>
      </c>
      <c r="J124" s="60">
        <f>IFERROR(INDEX(directors[Last],MAX(1,FLOOR((budgetProjectPlan[row]-1)/(numCategories+3)+1,1))),1)</f>
        <v>0</v>
      </c>
      <c r="L124"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Stipends</v>
      </c>
      <c r="M124" s="85">
        <f ca="1">budgetProjectPlan[[#This Row],[Milestone 1]]</f>
        <v>0</v>
      </c>
      <c r="N124" s="85">
        <f ca="1">budgetProjectPlan[[#This Row],[Milestone 2]]</f>
        <v>0</v>
      </c>
      <c r="O124" s="85">
        <f ca="1">budgetProjectPlan[[#This Row],[Milestone 3]]</f>
        <v>0</v>
      </c>
      <c r="P124" s="85">
        <f ca="1">budgetProjectPlan[[#This Row],[Milestone 4]]</f>
        <v>0</v>
      </c>
      <c r="Q124" s="85">
        <f ca="1">budgetProjectPlan[[#This Row],[Final]]</f>
        <v>0</v>
      </c>
      <c r="R124" s="61">
        <f ca="1">SUM(budgetSummary[[#This Row],[Milestone 1]:[Final]])</f>
        <v>0</v>
      </c>
      <c r="S124" s="61">
        <f>ROW()-ROW(budgetSummary[#Headers])</f>
        <v>107</v>
      </c>
      <c r="T124" s="61">
        <f>IF(budgetSummary[row] &lt;= numCategories +3, budgetSummary[row]-1, MOD(budgetSummary[row]-1,numCategories+3) + IF(MOD(budgetSummary[row]-2,numCategories+2)&gt;numCategories+1, 1,0))</f>
        <v>7</v>
      </c>
      <c r="U124" s="61">
        <f>IFERROR(INDEX(directors[Last],MAX(1,FLOOR((budgetSummary[row]-1)/(numCategories+3)+1,1))),1)</f>
        <v>0</v>
      </c>
    </row>
    <row r="125" spans="1:21" x14ac:dyDescent="0.25">
      <c r="A125"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Co-financing of personnel</v>
      </c>
      <c r="B125" s="61">
        <f ca="1">INDEX(budgetCoH[],MATCH("Subtotal " &amp; budgetProjectPlan[[#This Row],[Category]],budgetCoH[Category],0),MATCH(budgetProjectPlan[[#Headers],[Milestone 1]],budgetCoH[#Headers],0))</f>
        <v>0</v>
      </c>
      <c r="C125" s="61">
        <f ca="1">INDEX(budgetCoH[],MATCH("Subtotal " &amp; budgetProjectPlan[[#This Row],[Category]],budgetCoH[Category],0),MATCH(budgetProjectPlan[[#Headers],[Milestone 2]],budgetCoH[#Headers],0))</f>
        <v>0</v>
      </c>
      <c r="D125" s="61">
        <f ca="1">INDEX(budgetCoH[],MATCH("Subtotal " &amp; budgetProjectPlan[[#This Row],[Category]],budgetCoH[Category],0),MATCH(budgetProjectPlan[[#Headers],[Milestone 3]],budgetCoH[#Headers],0))</f>
        <v>0</v>
      </c>
      <c r="E125" s="61">
        <f ca="1">INDEX(budgetCoH[],MATCH("Subtotal " &amp; budgetProjectPlan[[#This Row],[Category]],budgetCoH[Category],0),MATCH(budgetProjectPlan[[#Headers],[Milestone 4]],budgetCoH[#Headers],0))</f>
        <v>0</v>
      </c>
      <c r="F125" s="61">
        <f ca="1">INDEX(budgetCoH[],MATCH("Subtotal " &amp; budgetProjectPlan[[#This Row],[Category]],budgetCoH[Category],0),MATCH(budgetProjectPlan[[#Headers],[Final]],budgetCoH[#Headers],0))</f>
        <v>0</v>
      </c>
      <c r="G125" s="61">
        <f ca="1">SUM(budgetProjectPlan[[#This Row],[Milestone 1]:[Final]])</f>
        <v>0</v>
      </c>
      <c r="H125" s="61">
        <f>ROW()-ROW(budgetProjectPlan[#Headers])</f>
        <v>108</v>
      </c>
      <c r="I125" s="61">
        <f>IF(budgetProjectPlan[row] &lt;= numCategories +3, budgetProjectPlan[row]-1, MOD(budgetProjectPlan[row]-1,numCategories+3) + IF(MOD(budgetProjectPlan[row]-2,numCategories+2)&gt;numCategories+1, 1,0))</f>
        <v>8</v>
      </c>
      <c r="J125" s="60">
        <f>IFERROR(INDEX(directors[Last],MAX(1,FLOOR((budgetProjectPlan[row]-1)/(numCategories+3)+1,1))),1)</f>
        <v>0</v>
      </c>
      <c r="L125"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Co-financing of personnel</v>
      </c>
      <c r="M125" s="85">
        <f ca="1">budgetProjectPlan[[#This Row],[Milestone 1]]</f>
        <v>0</v>
      </c>
      <c r="N125" s="85">
        <f ca="1">budgetProjectPlan[[#This Row],[Milestone 2]]</f>
        <v>0</v>
      </c>
      <c r="O125" s="85">
        <f ca="1">budgetProjectPlan[[#This Row],[Milestone 3]]</f>
        <v>0</v>
      </c>
      <c r="P125" s="85">
        <f ca="1">budgetProjectPlan[[#This Row],[Milestone 4]]</f>
        <v>0</v>
      </c>
      <c r="Q125" s="85">
        <f ca="1">budgetProjectPlan[[#This Row],[Final]]</f>
        <v>0</v>
      </c>
      <c r="R125" s="61">
        <f ca="1">SUM(budgetSummary[[#This Row],[Milestone 1]:[Final]])</f>
        <v>0</v>
      </c>
      <c r="S125" s="61">
        <f>ROW()-ROW(budgetSummary[#Headers])</f>
        <v>108</v>
      </c>
      <c r="T125" s="61">
        <f>IF(budgetSummary[row] &lt;= numCategories +3, budgetSummary[row]-1, MOD(budgetSummary[row]-1,numCategories+3) + IF(MOD(budgetSummary[row]-2,numCategories+2)&gt;numCategories+1, 1,0))</f>
        <v>8</v>
      </c>
      <c r="U125" s="61">
        <f>IFERROR(INDEX(directors[Last],MAX(1,FLOOR((budgetSummary[row]-1)/(numCategories+3)+1,1))),1)</f>
        <v>0</v>
      </c>
    </row>
    <row r="126" spans="1:21" x14ac:dyDescent="0.25">
      <c r="A126"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Subtotal 0</v>
      </c>
      <c r="B126" s="61">
        <f ca="1">SUBTOTAL(9,B118:B125)</f>
        <v>0</v>
      </c>
      <c r="C126" s="61">
        <f t="shared" ref="C126:G126" ca="1" si="18">SUBTOTAL(9,C118:C125)</f>
        <v>0</v>
      </c>
      <c r="D126" s="61">
        <f t="shared" ca="1" si="18"/>
        <v>0</v>
      </c>
      <c r="E126" s="61">
        <f t="shared" ca="1" si="18"/>
        <v>0</v>
      </c>
      <c r="F126" s="61">
        <f t="shared" ca="1" si="18"/>
        <v>0</v>
      </c>
      <c r="G126" s="61">
        <f t="shared" ca="1" si="18"/>
        <v>0</v>
      </c>
      <c r="H126" s="61">
        <f>ROW()-ROW(budgetProjectPlan[#Headers])</f>
        <v>109</v>
      </c>
      <c r="I126" s="61">
        <f>IF(budgetProjectPlan[row] &lt;= numCategories +3, budgetProjectPlan[row]-1, MOD(budgetProjectPlan[row]-1,numCategories+3) + IF(MOD(budgetProjectPlan[row]-2,numCategories+2)&gt;numCategories+1, 1,0))</f>
        <v>9</v>
      </c>
      <c r="J126" s="61">
        <f>IFERROR(INDEX(directors[Last],MAX(1,FLOOR((budgetProjectPlan[row]-1)/(numCategories+3)+1,1))),1)</f>
        <v>0</v>
      </c>
      <c r="K126" s="61"/>
      <c r="L126"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Subtotal 0</v>
      </c>
      <c r="M126" s="61">
        <f ca="1">SUBTOTAL(9,M118:M125)</f>
        <v>0</v>
      </c>
      <c r="N126" s="61">
        <f t="shared" ref="N126:R126" ca="1" si="19">SUBTOTAL(9,N118:N125)</f>
        <v>0</v>
      </c>
      <c r="O126" s="61">
        <f t="shared" ca="1" si="19"/>
        <v>0</v>
      </c>
      <c r="P126" s="61">
        <f t="shared" ca="1" si="19"/>
        <v>0</v>
      </c>
      <c r="Q126" s="61">
        <f t="shared" ca="1" si="19"/>
        <v>0</v>
      </c>
      <c r="R126" s="61">
        <f t="shared" ca="1" si="19"/>
        <v>0</v>
      </c>
      <c r="S126" s="61">
        <f>ROW()-ROW(budgetSummary[#Headers])</f>
        <v>109</v>
      </c>
      <c r="T126" s="61">
        <f>IF(budgetSummary[row] &lt;= numCategories +3, budgetSummary[row]-1, MOD(budgetSummary[row]-1,numCategories+3) + IF(MOD(budgetSummary[row]-2,numCategories+2)&gt;numCategories+1, 1,0))</f>
        <v>9</v>
      </c>
      <c r="U126" s="61">
        <f>IFERROR(INDEX(directors[Last],MAX(1,FLOOR((budgetSummary[row]-1)/(numCategories+3)+1,1))),1)</f>
        <v>0</v>
      </c>
    </row>
    <row r="127" spans="1:21" x14ac:dyDescent="0.25">
      <c r="A127" s="61" t="str">
        <f>IF(budgetProjectPlan[catIndex]=0, budgetProjectPlan[director] &amp; " / " &amp; INDEX(directors[Country],MAX(1,FLOOR((budgetProjectPlan[row]-1)/(numCategories+3)+1,1))), IF(budgetProjectPlan[catIndex]= numCategories + 1, "Subtotal " &amp; budgetProjectPlan[director], IF(budgetProjectPlan[catIndex] = numCategories + 2, "", IFERROR(INDEX(categories[],budgetProjectPlan[catIndex]), ""))))</f>
        <v/>
      </c>
      <c r="B127" s="61"/>
      <c r="C127" s="61"/>
      <c r="D127" s="61"/>
      <c r="E127" s="61"/>
      <c r="F127" s="61"/>
      <c r="G127" s="61">
        <f>SUM(budgetProjectPlan[[#This Row],[Milestone 1]:[Final]])</f>
        <v>0</v>
      </c>
      <c r="H127" s="61">
        <f>ROW()-ROW(budgetProjectPlan[#Headers])</f>
        <v>110</v>
      </c>
      <c r="I127" s="61">
        <f>IF(budgetProjectPlan[row] &lt;= numCategories +3, budgetProjectPlan[row]-1, MOD(budgetProjectPlan[row]-1,numCategories+3) + IF(MOD(budgetProjectPlan[row]-2,numCategories+2)&gt;numCategories+1, 1,0))</f>
        <v>10</v>
      </c>
      <c r="J127" s="61">
        <f>IFERROR(INDEX(directors[Last],MAX(1,FLOOR((budgetProjectPlan[row]-1)/(numCategories+3)+1,1))),1)</f>
        <v>0</v>
      </c>
      <c r="L127" s="61" t="str">
        <f>IF(budgetSummary[catIndex]=0, budgetSummary[director] &amp; " / " &amp; INDEX(directors[Country],MAX(1,FLOOR((budgetSummary[row]-1)/(numCategories+3)+1,1))), IF(budgetSummary[catIndex]= numCategories + 1, "Subtotal " &amp; budgetSummary[director], IF(budgetSummary[catIndex] = numCategories + 2, "", IFERROR(INDEX(categories[],budgetSummary[catIndex]), ""))))</f>
        <v/>
      </c>
      <c r="M127" s="61"/>
      <c r="N127" s="61"/>
      <c r="O127" s="61"/>
      <c r="P127" s="61"/>
      <c r="Q127" s="61"/>
      <c r="R127" s="61">
        <f>SUM(budgetSummary[[#This Row],[Milestone 1]:[Final]])</f>
        <v>0</v>
      </c>
      <c r="S127" s="61">
        <f>ROW()-ROW(budgetSummary[#Headers])</f>
        <v>110</v>
      </c>
      <c r="T127" s="61">
        <f>IF(budgetSummary[row] &lt;= numCategories +3, budgetSummary[row]-1, MOD(budgetSummary[row]-1,numCategories+3) + IF(MOD(budgetSummary[row]-2,numCategories+2)&gt;numCategories+1, 1,0))</f>
        <v>10</v>
      </c>
      <c r="U127" s="61">
        <f>IFERROR(INDEX(directors[Last],MAX(1,FLOOR((budgetSummary[row]-1)/(numCategories+3)+1,1))),1)</f>
        <v>0</v>
      </c>
    </row>
  </sheetData>
  <sheetProtection sheet="1" selectLockedCells="1"/>
  <mergeCells count="10">
    <mergeCell ref="A4:G4"/>
    <mergeCell ref="L4:R4"/>
    <mergeCell ref="A1:B1"/>
    <mergeCell ref="A2:B2"/>
    <mergeCell ref="D2:G2"/>
    <mergeCell ref="D1:G1"/>
    <mergeCell ref="L1:N1"/>
    <mergeCell ref="L2:N2"/>
    <mergeCell ref="O1:Q1"/>
    <mergeCell ref="O2:Q2"/>
  </mergeCells>
  <conditionalFormatting sqref="M7:R117">
    <cfRule type="expression" dxfId="459" priority="84">
      <formula>M7&lt;&gt;B7</formula>
    </cfRule>
  </conditionalFormatting>
  <conditionalFormatting sqref="A2:G2 L2:R2">
    <cfRule type="containsText" dxfId="458" priority="83" operator="containsText" text="To Do">
      <formula>NOT(ISERROR(SEARCH("To Do",A2)))</formula>
    </cfRule>
  </conditionalFormatting>
  <conditionalFormatting sqref="A18:J125 L127:U127 A127:J127 L18:U125">
    <cfRule type="expression" dxfId="457" priority="108" stopIfTrue="1">
      <formula>ISNUMBER(SEARCH("Subtotal",$L18))</formula>
    </cfRule>
    <cfRule type="expression" dxfId="456" priority="133" stopIfTrue="1">
      <formula>$T18=0</formula>
    </cfRule>
  </conditionalFormatting>
  <conditionalFormatting sqref="J118:J125 A127:J127 A1:R117">
    <cfRule type="expression" dxfId="455" priority="134">
      <formula>AND(CELL("Protect",A1)=0,ISODD(CELL("Row",A1)))</formula>
    </cfRule>
    <cfRule type="expression" dxfId="454" priority="153">
      <formula>AND(CELL("Protect",A1)=0,ISEVEN(CELL("Row",A1)))</formula>
    </cfRule>
  </conditionalFormatting>
  <conditionalFormatting sqref="J118:J125 U118:U125 L127:U127 A127:J127 A39:U117">
    <cfRule type="expression" dxfId="453" priority="92" stopIfTrue="1">
      <formula>LEN($U39)&lt;=3</formula>
    </cfRule>
  </conditionalFormatting>
  <conditionalFormatting sqref="J118:J125 U118:U125 L127:U127 A127:J127 A18:U117">
    <cfRule type="expression" dxfId="452" priority="89" stopIfTrue="1">
      <formula>$T18=10</formula>
    </cfRule>
  </conditionalFormatting>
  <conditionalFormatting sqref="L127:U127">
    <cfRule type="expression" dxfId="451" priority="81">
      <formula>AND(CELL("Protect",L127)=0,ISODD(CELL("Row",L127)))</formula>
    </cfRule>
    <cfRule type="expression" dxfId="450" priority="82">
      <formula>AND(CELL("Protect",L127)=0,ISEVEN(CELL("Row",L127)))</formula>
    </cfRule>
  </conditionalFormatting>
  <conditionalFormatting sqref="M118:M125">
    <cfRule type="expression" dxfId="449" priority="76">
      <formula>M118&lt;&gt;B118</formula>
    </cfRule>
  </conditionalFormatting>
  <conditionalFormatting sqref="M118:M125">
    <cfRule type="expression" dxfId="448" priority="79">
      <formula>AND(CELL("Protect",M118)=0,ISODD(CELL("Row",M118)))</formula>
    </cfRule>
    <cfRule type="expression" dxfId="447" priority="80">
      <formula>AND(CELL("Protect",M118)=0,ISEVEN(CELL("Row",M118)))</formula>
    </cfRule>
  </conditionalFormatting>
  <conditionalFormatting sqref="M118:M125">
    <cfRule type="expression" dxfId="446" priority="78" stopIfTrue="1">
      <formula>LEN($U118)&lt;=3</formula>
    </cfRule>
  </conditionalFormatting>
  <conditionalFormatting sqref="M118:M125">
    <cfRule type="expression" dxfId="445" priority="77" stopIfTrue="1">
      <formula>$T118=10</formula>
    </cfRule>
  </conditionalFormatting>
  <conditionalFormatting sqref="N118:N125">
    <cfRule type="expression" dxfId="444" priority="71">
      <formula>N118&lt;&gt;C118</formula>
    </cfRule>
  </conditionalFormatting>
  <conditionalFormatting sqref="N118:N125">
    <cfRule type="expression" dxfId="443" priority="74">
      <formula>AND(CELL("Protect",N118)=0,ISODD(CELL("Row",N118)))</formula>
    </cfRule>
    <cfRule type="expression" dxfId="442" priority="75">
      <formula>AND(CELL("Protect",N118)=0,ISEVEN(CELL("Row",N118)))</formula>
    </cfRule>
  </conditionalFormatting>
  <conditionalFormatting sqref="N118:N125">
    <cfRule type="expression" dxfId="441" priority="73" stopIfTrue="1">
      <formula>LEN($U118)&lt;=3</formula>
    </cfRule>
  </conditionalFormatting>
  <conditionalFormatting sqref="N118:N125">
    <cfRule type="expression" dxfId="440" priority="72" stopIfTrue="1">
      <formula>$T118=10</formula>
    </cfRule>
  </conditionalFormatting>
  <conditionalFormatting sqref="O118:O125">
    <cfRule type="expression" dxfId="439" priority="66">
      <formula>O118&lt;&gt;D118</formula>
    </cfRule>
  </conditionalFormatting>
  <conditionalFormatting sqref="O118:O125">
    <cfRule type="expression" dxfId="438" priority="69">
      <formula>AND(CELL("Protect",O118)=0,ISODD(CELL("Row",O118)))</formula>
    </cfRule>
    <cfRule type="expression" dxfId="437" priority="70">
      <formula>AND(CELL("Protect",O118)=0,ISEVEN(CELL("Row",O118)))</formula>
    </cfRule>
  </conditionalFormatting>
  <conditionalFormatting sqref="O118:O125">
    <cfRule type="expression" dxfId="436" priority="68" stopIfTrue="1">
      <formula>LEN($U118)&lt;=3</formula>
    </cfRule>
  </conditionalFormatting>
  <conditionalFormatting sqref="O118:O125">
    <cfRule type="expression" dxfId="435" priority="67" stopIfTrue="1">
      <formula>$T118=10</formula>
    </cfRule>
  </conditionalFormatting>
  <conditionalFormatting sqref="P118:P125">
    <cfRule type="expression" dxfId="434" priority="61">
      <formula>P118&lt;&gt;E118</formula>
    </cfRule>
  </conditionalFormatting>
  <conditionalFormatting sqref="P118:P125">
    <cfRule type="expression" dxfId="433" priority="64">
      <formula>AND(CELL("Protect",P118)=0,ISODD(CELL("Row",P118)))</formula>
    </cfRule>
    <cfRule type="expression" dxfId="432" priority="65">
      <formula>AND(CELL("Protect",P118)=0,ISEVEN(CELL("Row",P118)))</formula>
    </cfRule>
  </conditionalFormatting>
  <conditionalFormatting sqref="P118:P125">
    <cfRule type="expression" dxfId="431" priority="63" stopIfTrue="1">
      <formula>LEN($U118)&lt;=3</formula>
    </cfRule>
  </conditionalFormatting>
  <conditionalFormatting sqref="P118:P125">
    <cfRule type="expression" dxfId="430" priority="62" stopIfTrue="1">
      <formula>$T118=10</formula>
    </cfRule>
  </conditionalFormatting>
  <conditionalFormatting sqref="Q118:Q125">
    <cfRule type="expression" dxfId="429" priority="56">
      <formula>Q118&lt;&gt;F118</formula>
    </cfRule>
  </conditionalFormatting>
  <conditionalFormatting sqref="Q118:Q125">
    <cfRule type="expression" dxfId="428" priority="59">
      <formula>AND(CELL("Protect",Q118)=0,ISODD(CELL("Row",Q118)))</formula>
    </cfRule>
    <cfRule type="expression" dxfId="427" priority="60">
      <formula>AND(CELL("Protect",Q118)=0,ISEVEN(CELL("Row",Q118)))</formula>
    </cfRule>
  </conditionalFormatting>
  <conditionalFormatting sqref="Q118:Q125">
    <cfRule type="expression" dxfId="426" priority="58" stopIfTrue="1">
      <formula>LEN($U118)&lt;=3</formula>
    </cfRule>
  </conditionalFormatting>
  <conditionalFormatting sqref="Q118:Q125">
    <cfRule type="expression" dxfId="425" priority="57" stopIfTrue="1">
      <formula>$T118=10</formula>
    </cfRule>
  </conditionalFormatting>
  <conditionalFormatting sqref="B118:B125">
    <cfRule type="expression" dxfId="424" priority="54">
      <formula>AND(CELL("Protect",B118)=0,ISODD(CELL("Row",B118)))</formula>
    </cfRule>
    <cfRule type="expression" dxfId="423" priority="55">
      <formula>AND(CELL("Protect",B118)=0,ISEVEN(CELL("Row",B118)))</formula>
    </cfRule>
  </conditionalFormatting>
  <conditionalFormatting sqref="B118:B125">
    <cfRule type="expression" dxfId="422" priority="53" stopIfTrue="1">
      <formula>LEN($U118)&lt;=3</formula>
    </cfRule>
  </conditionalFormatting>
  <conditionalFormatting sqref="B118:B125">
    <cfRule type="expression" dxfId="421" priority="52" stopIfTrue="1">
      <formula>$T118=10</formula>
    </cfRule>
  </conditionalFormatting>
  <conditionalFormatting sqref="C118:C125">
    <cfRule type="expression" dxfId="420" priority="50">
      <formula>AND(CELL("Protect",C118)=0,ISODD(CELL("Row",C118)))</formula>
    </cfRule>
    <cfRule type="expression" dxfId="419" priority="51">
      <formula>AND(CELL("Protect",C118)=0,ISEVEN(CELL("Row",C118)))</formula>
    </cfRule>
  </conditionalFormatting>
  <conditionalFormatting sqref="C118:C125">
    <cfRule type="expression" dxfId="418" priority="49" stopIfTrue="1">
      <formula>LEN($U118)&lt;=3</formula>
    </cfRule>
  </conditionalFormatting>
  <conditionalFormatting sqref="C118:C125">
    <cfRule type="expression" dxfId="417" priority="48" stopIfTrue="1">
      <formula>$T118=10</formula>
    </cfRule>
  </conditionalFormatting>
  <conditionalFormatting sqref="C118:C125">
    <cfRule type="expression" dxfId="416" priority="46">
      <formula>AND(CELL("Protect",C118)=0,ISODD(CELL("Row",C118)))</formula>
    </cfRule>
    <cfRule type="expression" dxfId="415" priority="47">
      <formula>AND(CELL("Protect",C118)=0,ISEVEN(CELL("Row",C118)))</formula>
    </cfRule>
  </conditionalFormatting>
  <conditionalFormatting sqref="C118:C125">
    <cfRule type="expression" dxfId="414" priority="45" stopIfTrue="1">
      <formula>LEN($U118)&lt;=3</formula>
    </cfRule>
  </conditionalFormatting>
  <conditionalFormatting sqref="C118:C125">
    <cfRule type="expression" dxfId="413" priority="44" stopIfTrue="1">
      <formula>$T118=10</formula>
    </cfRule>
  </conditionalFormatting>
  <conditionalFormatting sqref="E118:E125">
    <cfRule type="expression" dxfId="412" priority="42">
      <formula>AND(CELL("Protect",E118)=0,ISODD(CELL("Row",E118)))</formula>
    </cfRule>
    <cfRule type="expression" dxfId="411" priority="43">
      <formula>AND(CELL("Protect",E118)=0,ISEVEN(CELL("Row",E118)))</formula>
    </cfRule>
  </conditionalFormatting>
  <conditionalFormatting sqref="E118:E125">
    <cfRule type="expression" dxfId="410" priority="41" stopIfTrue="1">
      <formula>LEN($U118)&lt;=3</formula>
    </cfRule>
  </conditionalFormatting>
  <conditionalFormatting sqref="E118:E125">
    <cfRule type="expression" dxfId="409" priority="40" stopIfTrue="1">
      <formula>$T118=10</formula>
    </cfRule>
  </conditionalFormatting>
  <conditionalFormatting sqref="F118:F125">
    <cfRule type="expression" dxfId="408" priority="38">
      <formula>AND(CELL("Protect",F118)=0,ISODD(CELL("Row",F118)))</formula>
    </cfRule>
    <cfRule type="expression" dxfId="407" priority="39">
      <formula>AND(CELL("Protect",F118)=0,ISEVEN(CELL("Row",F118)))</formula>
    </cfRule>
  </conditionalFormatting>
  <conditionalFormatting sqref="F118:F125">
    <cfRule type="expression" dxfId="406" priority="37" stopIfTrue="1">
      <formula>LEN($U118)&lt;=3</formula>
    </cfRule>
  </conditionalFormatting>
  <conditionalFormatting sqref="F118:F125">
    <cfRule type="expression" dxfId="405" priority="36" stopIfTrue="1">
      <formula>$T118=10</formula>
    </cfRule>
  </conditionalFormatting>
  <conditionalFormatting sqref="F118:F125">
    <cfRule type="expression" dxfId="404" priority="34">
      <formula>AND(CELL("Protect",F118)=0,ISODD(CELL("Row",F118)))</formula>
    </cfRule>
    <cfRule type="expression" dxfId="403" priority="35">
      <formula>AND(CELL("Protect",F118)=0,ISEVEN(CELL("Row",F118)))</formula>
    </cfRule>
  </conditionalFormatting>
  <conditionalFormatting sqref="F118:F125">
    <cfRule type="expression" dxfId="402" priority="33" stopIfTrue="1">
      <formula>LEN($U118)&lt;=3</formula>
    </cfRule>
  </conditionalFormatting>
  <conditionalFormatting sqref="F118:F125">
    <cfRule type="expression" dxfId="401" priority="32" stopIfTrue="1">
      <formula>$T118=10</formula>
    </cfRule>
  </conditionalFormatting>
  <conditionalFormatting sqref="G118:G125">
    <cfRule type="expression" dxfId="400" priority="30">
      <formula>AND(CELL("Protect",G118)=0,ISODD(CELL("Row",G118)))</formula>
    </cfRule>
    <cfRule type="expression" dxfId="399" priority="31">
      <formula>AND(CELL("Protect",G118)=0,ISEVEN(CELL("Row",G118)))</formula>
    </cfRule>
  </conditionalFormatting>
  <conditionalFormatting sqref="G118:G125">
    <cfRule type="expression" dxfId="398" priority="29" stopIfTrue="1">
      <formula>LEN($U118)&lt;=3</formula>
    </cfRule>
  </conditionalFormatting>
  <conditionalFormatting sqref="G118:G125">
    <cfRule type="expression" dxfId="397" priority="28" stopIfTrue="1">
      <formula>$T118=10</formula>
    </cfRule>
  </conditionalFormatting>
  <conditionalFormatting sqref="A118:A125">
    <cfRule type="expression" dxfId="396" priority="26">
      <formula>AND(CELL("Protect",A118)=0,ISODD(CELL("Row",A118)))</formula>
    </cfRule>
    <cfRule type="expression" dxfId="395" priority="27">
      <formula>AND(CELL("Protect",A118)=0,ISEVEN(CELL("Row",A118)))</formula>
    </cfRule>
  </conditionalFormatting>
  <conditionalFormatting sqref="A118:A125">
    <cfRule type="expression" dxfId="394" priority="25" stopIfTrue="1">
      <formula>LEN($U118)&lt;=3</formula>
    </cfRule>
  </conditionalFormatting>
  <conditionalFormatting sqref="A118:A125">
    <cfRule type="expression" dxfId="393" priority="24" stopIfTrue="1">
      <formula>$T118=10</formula>
    </cfRule>
  </conditionalFormatting>
  <conditionalFormatting sqref="B118:H125">
    <cfRule type="expression" dxfId="392" priority="22">
      <formula>AND(CELL("Protect",B118)=0,ISODD(CELL("Row",B118)))</formula>
    </cfRule>
    <cfRule type="expression" dxfId="391" priority="23">
      <formula>AND(CELL("Protect",B118)=0,ISEVEN(CELL("Row",B118)))</formula>
    </cfRule>
  </conditionalFormatting>
  <conditionalFormatting sqref="B118:H125">
    <cfRule type="expression" dxfId="390" priority="21" stopIfTrue="1">
      <formula>LEN($U118)&lt;=3</formula>
    </cfRule>
  </conditionalFormatting>
  <conditionalFormatting sqref="B118:H125">
    <cfRule type="expression" dxfId="389" priority="20" stopIfTrue="1">
      <formula>$T118=10</formula>
    </cfRule>
  </conditionalFormatting>
  <conditionalFormatting sqref="I118:I125">
    <cfRule type="expression" dxfId="388" priority="18">
      <formula>AND(CELL("Protect",I118)=0,ISODD(CELL("Row",I118)))</formula>
    </cfRule>
    <cfRule type="expression" dxfId="387" priority="19">
      <formula>AND(CELL("Protect",I118)=0,ISEVEN(CELL("Row",I118)))</formula>
    </cfRule>
  </conditionalFormatting>
  <conditionalFormatting sqref="I118:I125">
    <cfRule type="expression" dxfId="386" priority="17" stopIfTrue="1">
      <formula>LEN($U118)&lt;=3</formula>
    </cfRule>
  </conditionalFormatting>
  <conditionalFormatting sqref="I118:I125">
    <cfRule type="expression" dxfId="385" priority="16" stopIfTrue="1">
      <formula>$T118=10</formula>
    </cfRule>
  </conditionalFormatting>
  <conditionalFormatting sqref="L118:T125">
    <cfRule type="expression" dxfId="384" priority="14">
      <formula>AND(CELL("Protect",L118)=0,ISODD(CELL("Row",L118)))</formula>
    </cfRule>
    <cfRule type="expression" dxfId="383" priority="15">
      <formula>AND(CELL("Protect",L118)=0,ISEVEN(CELL("Row",L118)))</formula>
    </cfRule>
  </conditionalFormatting>
  <conditionalFormatting sqref="L118:T125">
    <cfRule type="expression" dxfId="382" priority="13" stopIfTrue="1">
      <formula>LEN($U118)&lt;=3</formula>
    </cfRule>
  </conditionalFormatting>
  <conditionalFormatting sqref="L118:T125">
    <cfRule type="expression" dxfId="381" priority="12" stopIfTrue="1">
      <formula>$T118=10</formula>
    </cfRule>
  </conditionalFormatting>
  <conditionalFormatting sqref="A126:U126">
    <cfRule type="expression" dxfId="380" priority="8" stopIfTrue="1">
      <formula>ISNUMBER(SEARCH("Subtotal",$L126))</formula>
    </cfRule>
    <cfRule type="expression" dxfId="379" priority="9" stopIfTrue="1">
      <formula>$T126=0</formula>
    </cfRule>
  </conditionalFormatting>
  <conditionalFormatting sqref="A126:U126">
    <cfRule type="expression" dxfId="378" priority="10">
      <formula>AND(CELL("Protect",A126)=0,ISODD(CELL("Row",A126)))</formula>
    </cfRule>
    <cfRule type="expression" dxfId="377" priority="11">
      <formula>AND(CELL("Protect",A126)=0,ISEVEN(CELL("Row",A126)))</formula>
    </cfRule>
  </conditionalFormatting>
  <conditionalFormatting sqref="A126:U126">
    <cfRule type="expression" dxfId="376" priority="7" stopIfTrue="1">
      <formula>LEN($U126)&lt;=3</formula>
    </cfRule>
  </conditionalFormatting>
  <conditionalFormatting sqref="A126:U126">
    <cfRule type="expression" dxfId="375" priority="6" stopIfTrue="1">
      <formula>$T126=10</formula>
    </cfRule>
  </conditionalFormatting>
  <conditionalFormatting sqref="M118:Q125">
    <cfRule type="expression" dxfId="374" priority="1">
      <formula>M118&lt;&gt;B118</formula>
    </cfRule>
  </conditionalFormatting>
  <conditionalFormatting sqref="M118:Q125">
    <cfRule type="expression" dxfId="373" priority="4">
      <formula>AND(CELL("Protect",M118)=0,ISODD(CELL("Row",M118)))</formula>
    </cfRule>
    <cfRule type="expression" dxfId="372" priority="5">
      <formula>AND(CELL("Protect",M118)=0,ISEVEN(CELL("Row",M118)))</formula>
    </cfRule>
  </conditionalFormatting>
  <conditionalFormatting sqref="M118:Q125">
    <cfRule type="expression" dxfId="371" priority="3" stopIfTrue="1">
      <formula>LEN($U118)&lt;=3</formula>
    </cfRule>
  </conditionalFormatting>
  <conditionalFormatting sqref="M118:Q125">
    <cfRule type="expression" dxfId="370" priority="2" stopIfTrue="1">
      <formula>$T118=10</formula>
    </cfRule>
  </conditionalFormatting>
  <dataValidations count="3">
    <dataValidation type="list" allowBlank="1" showInputMessage="1" showErrorMessage="1" sqref="R2">
      <formula1>IPRStatusList</formula1>
    </dataValidation>
    <dataValidation type="list" allowBlank="1" showInputMessage="1" showErrorMessage="1" sqref="L4:R4">
      <formula1>"Proposed by SPS Office,Applicant Counter-Proposal,Agreed with SPS Office"</formula1>
    </dataValidation>
    <dataValidation type="decimal" operator="greaterThanOrEqual" allowBlank="1" showInputMessage="1" showErrorMessage="1" errorTitle="Numbers only" error="Please enter numbers only." sqref="N38:R38 N19:Q37 R60 N71:R71 M118:Q125 N82:R82 N72:Q81 N93:R93 N83:Q92 N104:R104 N94:Q103 M19:M116 N105:Q116 N39:Q70">
      <formula1>0</formula1>
    </dataValidation>
  </dataValidations>
  <pageMargins left="0.70866141732283472" right="0.70866141732283472" top="0.74803149606299213" bottom="0.74803149606299213" header="0.31496062992125984" footer="0.31496062992125984"/>
  <pageSetup paperSize="9" scale="55" fitToHeight="16" orientation="landscape" r:id="rId1"/>
  <tableParts count="4">
    <tablePart r:id="rId2"/>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showZeros="0" zoomScaleNormal="100" workbookViewId="0">
      <selection activeCell="G4" sqref="G4:I9"/>
    </sheetView>
  </sheetViews>
  <sheetFormatPr defaultColWidth="9.140625" defaultRowHeight="12.75" x14ac:dyDescent="0.2"/>
  <cols>
    <col min="1" max="1" width="3.7109375" style="5" customWidth="1"/>
    <col min="2" max="2" width="11.28515625" style="5" customWidth="1"/>
    <col min="3" max="3" width="10" style="5" customWidth="1"/>
    <col min="4" max="4" width="9" style="5" customWidth="1"/>
    <col min="5" max="5" width="49.85546875" style="5" customWidth="1"/>
    <col min="6" max="6" width="16.42578125" style="5" customWidth="1"/>
    <col min="7" max="9" width="10.28515625" style="5" bestFit="1" customWidth="1"/>
    <col min="10" max="10" width="11.28515625" style="5" customWidth="1"/>
    <col min="11" max="11" width="0" style="5" hidden="1" customWidth="1"/>
    <col min="12" max="12" width="1.42578125" style="5" hidden="1" customWidth="1"/>
    <col min="13" max="16384" width="9.140625" style="5"/>
  </cols>
  <sheetData>
    <row r="1" spans="1:9" s="3" customFormat="1" ht="15" customHeight="1" thickBot="1" x14ac:dyDescent="0.25">
      <c r="B1" s="19"/>
      <c r="C1" s="204" t="s">
        <v>387</v>
      </c>
      <c r="D1" s="197"/>
      <c r="E1" s="174" t="s">
        <v>400</v>
      </c>
      <c r="F1" s="195" t="s">
        <v>401</v>
      </c>
      <c r="G1" s="183"/>
      <c r="H1" s="195" t="s">
        <v>418</v>
      </c>
      <c r="I1" s="182"/>
    </row>
    <row r="2" spans="1:9" ht="15.75" customHeight="1" thickTop="1" x14ac:dyDescent="0.2">
      <c r="A2" s="16"/>
      <c r="B2" s="18"/>
      <c r="C2" s="202" t="str">
        <f>IF(spsRefNo=0, "On Info tab please", spsRefNo)</f>
        <v>On Info tab please</v>
      </c>
      <c r="D2" s="203"/>
      <c r="E2" s="68" t="str">
        <f>IF(projectTitle=0, "Please enter  on Info tab.", projectTitle)</f>
        <v>Please enter  on Info tab.</v>
      </c>
      <c r="F2" s="202" t="str">
        <f>IF(LEN(INDEX(directors[],MATCH("NPD", directors[Role],0), MATCH("Last", directors[#Headers], 0)))=0, "Please enter  on Info tab.", INDEX(directors[],MATCH("NPD", directors[Role],0), MATCH("First", directors[#Headers], 0)) &amp; " " &amp; INDEX(directors[],MATCH("NPD", directors[Role],0), MATCH("Last", directors[#Headers], 0)))</f>
        <v>Please enter  on Info tab.</v>
      </c>
      <c r="G2" s="203"/>
      <c r="H2" s="205" t="str">
        <f>IF(MAX(ARF[Date])=0,"Please add a payment", MAX(ARF[Date]))</f>
        <v>Please add a payment</v>
      </c>
      <c r="I2" s="206"/>
    </row>
    <row r="3" spans="1:9" s="15" customFormat="1" x14ac:dyDescent="0.2">
      <c r="A3" s="12"/>
      <c r="B3" s="12"/>
      <c r="C3" s="13"/>
      <c r="D3" s="13"/>
      <c r="E3" s="13"/>
      <c r="F3" s="13"/>
      <c r="G3" s="13"/>
      <c r="H3" s="14"/>
      <c r="I3" s="14"/>
    </row>
    <row r="4" spans="1:9" s="15" customFormat="1" ht="12.75" customHeight="1" x14ac:dyDescent="0.2">
      <c r="A4" s="12"/>
      <c r="B4" s="12"/>
      <c r="C4" s="13"/>
      <c r="D4" s="13"/>
      <c r="E4" s="13"/>
      <c r="G4" s="201" t="s">
        <v>511</v>
      </c>
      <c r="H4" s="201"/>
      <c r="I4" s="201"/>
    </row>
    <row r="5" spans="1:9" x14ac:dyDescent="0.2">
      <c r="A5" s="4"/>
      <c r="B5" s="153"/>
      <c r="C5" s="154"/>
      <c r="D5" s="152"/>
      <c r="E5" s="152"/>
      <c r="F5" s="24"/>
      <c r="G5" s="201"/>
      <c r="H5" s="201"/>
      <c r="I5" s="201"/>
    </row>
    <row r="6" spans="1:9" ht="12.75" customHeight="1" thickBot="1" x14ac:dyDescent="0.25">
      <c r="A6" s="148"/>
      <c r="B6" s="155"/>
      <c r="C6" s="155"/>
      <c r="D6" s="155"/>
      <c r="E6" s="152"/>
      <c r="F6" s="24"/>
      <c r="G6" s="201"/>
      <c r="H6" s="201"/>
      <c r="I6" s="201"/>
    </row>
    <row r="7" spans="1:9" x14ac:dyDescent="0.2">
      <c r="A7" s="149"/>
      <c r="B7" s="23"/>
      <c r="C7" s="23"/>
      <c r="D7" s="23"/>
      <c r="E7" s="151"/>
      <c r="F7" s="24"/>
      <c r="G7" s="201"/>
      <c r="H7" s="201"/>
      <c r="I7" s="201"/>
    </row>
    <row r="8" spans="1:9" ht="12.75" customHeight="1" x14ac:dyDescent="0.2">
      <c r="B8" s="152"/>
      <c r="C8" s="152"/>
      <c r="D8" s="152"/>
      <c r="E8" s="151"/>
      <c r="F8" s="24"/>
      <c r="G8" s="201"/>
      <c r="H8" s="201"/>
      <c r="I8" s="201"/>
    </row>
    <row r="9" spans="1:9" ht="25.5" customHeight="1" thickBot="1" x14ac:dyDescent="0.25">
      <c r="A9" s="197" t="s">
        <v>397</v>
      </c>
      <c r="B9" s="198"/>
      <c r="C9" s="198" t="s">
        <v>398</v>
      </c>
      <c r="D9" s="198"/>
      <c r="E9" s="34" t="s">
        <v>494</v>
      </c>
      <c r="F9" s="24"/>
      <c r="G9" s="201"/>
      <c r="H9" s="201"/>
      <c r="I9" s="201"/>
    </row>
    <row r="10" spans="1:9" ht="15" customHeight="1" x14ac:dyDescent="0.2">
      <c r="A10" s="199">
        <f>SUM(D13:D18)</f>
        <v>0</v>
      </c>
      <c r="B10" s="200"/>
      <c r="C10" s="199">
        <f>A10-SUM(ARF[Amount in Euro])</f>
        <v>0</v>
      </c>
      <c r="D10" s="200"/>
      <c r="E10" s="147">
        <f>approvedBudget-NATOFundsReceived</f>
        <v>0</v>
      </c>
      <c r="F10" s="150"/>
      <c r="G10" s="8"/>
      <c r="H10" s="8"/>
      <c r="I10" s="8"/>
    </row>
    <row r="11" spans="1:9" x14ac:dyDescent="0.2">
      <c r="D11" s="8"/>
      <c r="G11" s="6"/>
      <c r="H11" s="6"/>
      <c r="I11" s="6"/>
    </row>
    <row r="12" spans="1:9" ht="26.25" thickBot="1" x14ac:dyDescent="0.25">
      <c r="B12" s="29" t="s">
        <v>412</v>
      </c>
      <c r="C12" s="33" t="s">
        <v>4</v>
      </c>
      <c r="D12" s="34" t="s">
        <v>419</v>
      </c>
      <c r="F12" s="17"/>
      <c r="G12" s="156" t="s">
        <v>315</v>
      </c>
      <c r="H12" s="8"/>
      <c r="I12" s="8"/>
    </row>
    <row r="13" spans="1:9" ht="13.5" thickBot="1" x14ac:dyDescent="0.25">
      <c r="B13" s="30" t="str">
        <f>INDEX(milestones[Milestones],1)</f>
        <v>Kickoff</v>
      </c>
      <c r="C13" s="31"/>
      <c r="D13" s="35"/>
      <c r="F13" s="17"/>
      <c r="G13" s="8"/>
      <c r="H13" s="8"/>
      <c r="I13" s="8"/>
    </row>
    <row r="14" spans="1:9" ht="13.5" thickBot="1" x14ac:dyDescent="0.25">
      <c r="B14" s="30" t="str">
        <f>INDEX(milestones[Milestones],2)</f>
        <v>Milestone 1</v>
      </c>
      <c r="C14" s="31"/>
      <c r="D14" s="35"/>
      <c r="F14" s="17"/>
      <c r="G14" s="8"/>
      <c r="H14" s="8"/>
      <c r="I14" s="8"/>
    </row>
    <row r="15" spans="1:9" ht="13.5" thickBot="1" x14ac:dyDescent="0.25">
      <c r="B15" s="30" t="str">
        <f>INDEX(milestones[Milestones],3)</f>
        <v>Milestone 2</v>
      </c>
      <c r="C15" s="31"/>
      <c r="D15" s="35"/>
      <c r="F15" s="17"/>
      <c r="G15" s="8"/>
      <c r="H15" s="8"/>
      <c r="I15" s="8"/>
    </row>
    <row r="16" spans="1:9" ht="13.5" thickBot="1" x14ac:dyDescent="0.25">
      <c r="B16" s="30" t="str">
        <f>INDEX(milestones[Milestones],4)</f>
        <v>Milestone 3</v>
      </c>
      <c r="C16" s="31"/>
      <c r="D16" s="35"/>
      <c r="F16" s="17"/>
      <c r="G16" s="8"/>
      <c r="H16" s="8"/>
      <c r="I16" s="8"/>
    </row>
    <row r="17" spans="1:12" ht="13.5" thickBot="1" x14ac:dyDescent="0.25">
      <c r="B17" s="30" t="str">
        <f>INDEX(milestones[Milestones],5)</f>
        <v>Milestone 4</v>
      </c>
      <c r="C17" s="31"/>
      <c r="D17" s="35"/>
      <c r="F17" s="17"/>
      <c r="G17" s="8"/>
      <c r="H17" s="8"/>
      <c r="I17" s="8"/>
    </row>
    <row r="18" spans="1:12" x14ac:dyDescent="0.2">
      <c r="B18" s="30" t="str">
        <f>INDEX(milestones[Milestones],6)</f>
        <v>Final</v>
      </c>
      <c r="C18" s="32"/>
      <c r="D18" s="36"/>
      <c r="F18" s="17"/>
      <c r="G18" s="8"/>
      <c r="H18" s="8"/>
      <c r="I18" s="8"/>
    </row>
    <row r="19" spans="1:12" x14ac:dyDescent="0.2">
      <c r="B19" s="166" t="s">
        <v>499</v>
      </c>
      <c r="C19" s="166"/>
      <c r="D19" s="166"/>
      <c r="E19" s="166"/>
      <c r="F19" s="166"/>
    </row>
    <row r="20" spans="1:12" s="7" customFormat="1" ht="89.25" x14ac:dyDescent="0.25">
      <c r="A20" s="7" t="s">
        <v>312</v>
      </c>
      <c r="B20" s="7" t="s">
        <v>386</v>
      </c>
      <c r="C20" s="7" t="s">
        <v>0</v>
      </c>
      <c r="D20" s="7" t="s">
        <v>395</v>
      </c>
      <c r="E20" s="7" t="s">
        <v>399</v>
      </c>
      <c r="F20" s="7" t="s">
        <v>3</v>
      </c>
      <c r="G20" s="7" t="s">
        <v>1</v>
      </c>
      <c r="H20" s="7" t="s">
        <v>2</v>
      </c>
      <c r="I20" s="7" t="s">
        <v>313</v>
      </c>
      <c r="J20" s="7" t="s">
        <v>430</v>
      </c>
      <c r="K20" s="7" t="s">
        <v>444</v>
      </c>
      <c r="L20" s="7" t="s">
        <v>308</v>
      </c>
    </row>
    <row r="21" spans="1:12" s="7" customFormat="1" x14ac:dyDescent="0.2">
      <c r="A21" s="28">
        <f>ROW(ARF[#This Row])-ROW(ARF[#Headers])</f>
        <v>1</v>
      </c>
      <c r="B21" s="9"/>
      <c r="C21" s="10"/>
      <c r="D21" s="10"/>
      <c r="E21" s="3"/>
      <c r="F21" s="3"/>
      <c r="G21" s="11"/>
      <c r="H21" s="3"/>
      <c r="I21" s="11" t="str">
        <f>IF(H21="EUR",G21,"")</f>
        <v/>
      </c>
      <c r="J21" s="58" t="str">
        <f>IFERROR(ARF[[#This Row],[Amount in Euro]]+IF(NOT(ISNUMBER(J20)),0,J20),"")</f>
        <v/>
      </c>
      <c r="K21" s="66">
        <f t="shared" ref="K21" si="0">spsRefNo</f>
        <v>0</v>
      </c>
      <c r="L21" s="67" t="str">
        <f>IFERROR(INDEX(directors[Country],MATCH(ARF[[#This Row],[Co Director]],directors[Last],0)),"")</f>
        <v/>
      </c>
    </row>
  </sheetData>
  <sheetProtection sheet="1" formatCells="0" formatColumns="0" formatRows="0" insertColumns="0" insertRows="0" insertHyperlinks="0" deleteColumns="0" deleteRows="0" selectLockedCells="1" sort="0" autoFilter="0" pivotTables="0"/>
  <mergeCells count="11">
    <mergeCell ref="C2:D2"/>
    <mergeCell ref="C1:D1"/>
    <mergeCell ref="F2:G2"/>
    <mergeCell ref="F1:G1"/>
    <mergeCell ref="H1:I1"/>
    <mergeCell ref="H2:I2"/>
    <mergeCell ref="A9:B9"/>
    <mergeCell ref="A10:B10"/>
    <mergeCell ref="C9:D9"/>
    <mergeCell ref="C10:D10"/>
    <mergeCell ref="G4:I9"/>
  </mergeCells>
  <conditionalFormatting sqref="C13:D18 B21:J21">
    <cfRule type="containsBlanks" dxfId="311" priority="13">
      <formula>LEN(TRIM(B13))=0</formula>
    </cfRule>
  </conditionalFormatting>
  <conditionalFormatting sqref="C2:I2">
    <cfRule type="containsText" dxfId="310" priority="2" operator="containsText" text="please">
      <formula>NOT(ISERROR(SEARCH("please",C2)))</formula>
    </cfRule>
  </conditionalFormatting>
  <conditionalFormatting sqref="E10">
    <cfRule type="containsBlanks" dxfId="309" priority="1">
      <formula>LEN(TRIM(E10))=0</formula>
    </cfRule>
  </conditionalFormatting>
  <dataValidations count="5">
    <dataValidation type="date" operator="greaterThan" allowBlank="1" showInputMessage="1" showErrorMessage="1" sqref="C14:C18">
      <formula1>C13</formula1>
    </dataValidation>
    <dataValidation type="date" operator="greaterThan" allowBlank="1" showInputMessage="1" showErrorMessage="1" sqref="C13 H3 B21">
      <formula1>36526</formula1>
    </dataValidation>
    <dataValidation type="list" errorStyle="warning" allowBlank="1" showInputMessage="1" showErrorMessage="1" errorTitle="Unrecognized Currency" error="That's not a currency we recognize. Are you sure you have the correct code?" sqref="H21">
      <formula1>currency_code</formula1>
    </dataValidation>
    <dataValidation type="list" allowBlank="1" showInputMessage="1" showErrorMessage="1" errorTitle="Expense categories" error="Please enter one of the expense categories." sqref="D21">
      <formula1>expense_categories</formula1>
    </dataValidation>
    <dataValidation type="list" allowBlank="1" showInputMessage="1" showErrorMessage="1" errorTitle="Enter co-Directors" error="Please enter the names of all co-directors on the CoDirectors tab." sqref="C21">
      <formula1>directorsLast</formula1>
    </dataValidation>
  </dataValidations>
  <pageMargins left="0.70866141732283472" right="0.6692913385826772" top="0.74803149606299213" bottom="0.74803149606299213" header="0.31496062992125984" footer="0.31496062992125984"/>
  <pageSetup paperSize="9" scale="92" orientation="landscape" r:id="rId1"/>
  <headerFooter>
    <oddHeader>&amp;CScience for Peace and Security Programme
Account Record Form</oddHeader>
    <oddFooter>Page &amp;P of &amp;N</oddFooter>
  </headerFooter>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7"/>
  <sheetViews>
    <sheetView showZeros="0" zoomScaleNormal="100" workbookViewId="0">
      <selection activeCell="K25" sqref="K25"/>
    </sheetView>
  </sheetViews>
  <sheetFormatPr defaultColWidth="9.140625" defaultRowHeight="12.75" x14ac:dyDescent="0.25"/>
  <cols>
    <col min="1" max="1" width="29.5703125" style="60" customWidth="1"/>
    <col min="2" max="7" width="9.85546875" style="60" customWidth="1"/>
    <col min="8" max="8" width="1.7109375" style="60" customWidth="1"/>
    <col min="9" max="9" width="29.5703125" style="60" customWidth="1"/>
    <col min="10" max="15" width="9.85546875" style="60" customWidth="1"/>
    <col min="16" max="18" width="13.5703125" style="60" hidden="1" customWidth="1"/>
    <col min="19" max="19" width="1.7109375" style="60" customWidth="1"/>
    <col min="20" max="16384" width="9.140625" style="60"/>
  </cols>
  <sheetData>
    <row r="1" spans="1:18" ht="26.25" thickBot="1" x14ac:dyDescent="0.3">
      <c r="A1" s="182" t="s">
        <v>387</v>
      </c>
      <c r="B1" s="183"/>
      <c r="C1" s="73" t="s">
        <v>447</v>
      </c>
      <c r="D1" s="191" t="s">
        <v>400</v>
      </c>
      <c r="E1" s="192"/>
      <c r="F1" s="192"/>
      <c r="G1" s="192"/>
      <c r="H1" s="74"/>
      <c r="I1" s="182" t="s">
        <v>473</v>
      </c>
      <c r="J1" s="182"/>
      <c r="K1" s="183"/>
      <c r="L1" s="207" t="s">
        <v>387</v>
      </c>
      <c r="M1" s="207"/>
      <c r="N1" s="73" t="s">
        <v>447</v>
      </c>
      <c r="O1" s="146" t="s">
        <v>495</v>
      </c>
    </row>
    <row r="2" spans="1:18" ht="24.75" customHeight="1" x14ac:dyDescent="0.25">
      <c r="A2" s="187">
        <f>spsRefNo</f>
        <v>0</v>
      </c>
      <c r="B2" s="188"/>
      <c r="C2" s="75">
        <f>approvedBudget</f>
        <v>0</v>
      </c>
      <c r="D2" s="189">
        <f>projectTitle</f>
        <v>0</v>
      </c>
      <c r="E2" s="190"/>
      <c r="F2" s="190"/>
      <c r="G2" s="190"/>
      <c r="I2" s="193">
        <f>shortTitle</f>
        <v>0</v>
      </c>
      <c r="J2" s="193"/>
      <c r="K2" s="194"/>
      <c r="L2" s="208">
        <f>spsRefNo</f>
        <v>0</v>
      </c>
      <c r="M2" s="208"/>
      <c r="N2" s="75">
        <f>approvedBudget</f>
        <v>0</v>
      </c>
      <c r="O2" s="75">
        <f ca="1">(1.1*budgetMilestone1Overall[[#Totals],[Milestone 2]])-AccountBalance</f>
        <v>0</v>
      </c>
    </row>
    <row r="3" spans="1:18" ht="15" customHeight="1" x14ac:dyDescent="0.25"/>
    <row r="4" spans="1:18" ht="26.25" customHeight="1" x14ac:dyDescent="0.25">
      <c r="A4" s="186" t="s">
        <v>486</v>
      </c>
      <c r="B4" s="186"/>
      <c r="C4" s="186"/>
      <c r="D4" s="186"/>
      <c r="E4" s="186"/>
      <c r="F4" s="186"/>
      <c r="G4" s="186"/>
      <c r="I4" s="186" t="s">
        <v>475</v>
      </c>
      <c r="J4" s="186"/>
      <c r="K4" s="186"/>
      <c r="L4" s="186"/>
      <c r="M4" s="186"/>
      <c r="N4" s="186"/>
      <c r="O4" s="186"/>
    </row>
    <row r="5" spans="1:18" ht="15" customHeight="1" x14ac:dyDescent="0.25"/>
    <row r="6" spans="1:18" ht="26.25" thickBot="1" x14ac:dyDescent="0.3">
      <c r="A6" s="106" t="str">
        <f t="array" ref="A6:G126" ca="1">OFFSET(budgetSummaryOverall[[#Headers],[Category]],0,0,121,7)</f>
        <v>Category</v>
      </c>
      <c r="B6" s="106" t="str">
        <f ca="1"/>
        <v>Milestone 1</v>
      </c>
      <c r="C6" s="106" t="str">
        <f ca="1"/>
        <v>Milestone 2</v>
      </c>
      <c r="D6" s="106" t="str">
        <f ca="1"/>
        <v>Milestone 3</v>
      </c>
      <c r="E6" s="106" t="str">
        <f ca="1"/>
        <v>Milestone 4</v>
      </c>
      <c r="F6" s="106" t="str">
        <f ca="1"/>
        <v>Final</v>
      </c>
      <c r="G6" s="107" t="str">
        <f ca="1"/>
        <v>Total</v>
      </c>
      <c r="I6" s="62" t="s">
        <v>395</v>
      </c>
      <c r="J6" s="72" t="s">
        <v>407</v>
      </c>
      <c r="K6" s="72" t="s">
        <v>408</v>
      </c>
      <c r="L6" s="72" t="s">
        <v>409</v>
      </c>
      <c r="M6" s="72" t="s">
        <v>485</v>
      </c>
      <c r="N6" s="62" t="s">
        <v>410</v>
      </c>
      <c r="O6" s="62" t="s">
        <v>403</v>
      </c>
      <c r="P6" s="62"/>
      <c r="Q6" s="62"/>
      <c r="R6" s="62"/>
    </row>
    <row r="7" spans="1:18" ht="15" customHeight="1" thickTop="1" x14ac:dyDescent="0.25">
      <c r="A7" s="105" t="str">
        <f ca="1"/>
        <v>Equipment</v>
      </c>
      <c r="B7" s="105">
        <f ca="1"/>
        <v>0</v>
      </c>
      <c r="C7" s="105">
        <f ca="1"/>
        <v>0</v>
      </c>
      <c r="D7" s="105">
        <f ca="1"/>
        <v>0</v>
      </c>
      <c r="E7" s="105">
        <f ca="1"/>
        <v>0</v>
      </c>
      <c r="F7" s="105">
        <f ca="1"/>
        <v>0</v>
      </c>
      <c r="G7" s="120">
        <f ca="1"/>
        <v>0</v>
      </c>
      <c r="I7" s="60" t="str">
        <f>INDEX(categories[Expense Categories],ROW()-ROW(budgetMilestone1Overall[#Headers]))</f>
        <v>Equipment</v>
      </c>
      <c r="J7" s="60">
        <f>SUMIFS(budgetMilestone1[Milestone 1],budgetMilestone1[Category],budgetMilestone1Overall[[#This Row],[Category]],budgetMilestone1[director], "&lt;&gt;1")</f>
        <v>0</v>
      </c>
      <c r="K7" s="60">
        <f ca="1">SUMIFS(budgetMilestone1[Milestone 2],budgetMilestone1[Category],budgetMilestone1Overall[[#This Row],[Category]],budgetMilestone1[director], "&lt;&gt;1")</f>
        <v>0</v>
      </c>
      <c r="L7" s="60">
        <f ca="1">SUMIFS(budgetMilestone1[Milestone 3],budgetMilestone1[Category],budgetMilestone1Overall[[#This Row],[Category]],budgetMilestone1[director], "&lt;&gt;1")</f>
        <v>0</v>
      </c>
      <c r="M7" s="60">
        <f ca="1">SUMIFS(budgetMilestone1[Milestone 4],budgetMilestone1[Category],budgetMilestone1Overall[[#This Row],[Category]],budgetMilestone1[director], "&lt;&gt;1")</f>
        <v>0</v>
      </c>
      <c r="N7" s="60">
        <f ca="1">SUMIFS(budgetMilestone1[Final],budgetMilestone1[Category],budgetMilestone1Overall[[#This Row],[Category]],budgetMilestone1[director], "&lt;&gt;1")</f>
        <v>0</v>
      </c>
      <c r="O7" s="60">
        <f ca="1">SUM(budgetMilestone1Overall[[#This Row],[Milestone 1]:[Final]])</f>
        <v>0</v>
      </c>
    </row>
    <row r="8" spans="1:18" ht="15" customHeight="1" x14ac:dyDescent="0.25">
      <c r="A8" s="105" t="str">
        <f ca="1"/>
        <v>Training</v>
      </c>
      <c r="B8" s="105">
        <f ca="1"/>
        <v>0</v>
      </c>
      <c r="C8" s="105">
        <f ca="1"/>
        <v>0</v>
      </c>
      <c r="D8" s="105">
        <f ca="1"/>
        <v>0</v>
      </c>
      <c r="E8" s="105">
        <f ca="1"/>
        <v>0</v>
      </c>
      <c r="F8" s="105">
        <f ca="1"/>
        <v>0</v>
      </c>
      <c r="G8" s="120">
        <f ca="1"/>
        <v>0</v>
      </c>
      <c r="I8" s="60" t="str">
        <f>INDEX(categories[Expense Categories],ROW()-ROW(budgetMilestone1Overall[#Headers]))</f>
        <v>Training</v>
      </c>
      <c r="J8" s="60">
        <f>SUMIFS(budgetMilestone1[Milestone 1],budgetMilestone1[Category],budgetMilestone1Overall[[#This Row],[Category]],budgetMilestone1[director], "&lt;&gt;1")</f>
        <v>0</v>
      </c>
      <c r="K8" s="60">
        <f ca="1">SUMIFS(budgetMilestone1[Milestone 2],budgetMilestone1[Category],budgetMilestone1Overall[[#This Row],[Category]],budgetMilestone1[director], "&lt;&gt;1")</f>
        <v>0</v>
      </c>
      <c r="L8" s="60">
        <f ca="1">SUMIFS(budgetMilestone1[Milestone 3],budgetMilestone1[Category],budgetMilestone1Overall[[#This Row],[Category]],budgetMilestone1[director], "&lt;&gt;1")</f>
        <v>0</v>
      </c>
      <c r="M8" s="60">
        <f ca="1">SUMIFS(budgetMilestone1[Milestone 4],budgetMilestone1[Category],budgetMilestone1Overall[[#This Row],[Category]],budgetMilestone1[director], "&lt;&gt;1")</f>
        <v>0</v>
      </c>
      <c r="N8" s="60">
        <f ca="1">SUMIFS(budgetMilestone1[Final],budgetMilestone1[Category],budgetMilestone1Overall[[#This Row],[Category]],budgetMilestone1[director], "&lt;&gt;1")</f>
        <v>0</v>
      </c>
      <c r="O8" s="60">
        <f ca="1">SUM(budgetMilestone1Overall[[#This Row],[Milestone 1]:[Final]])</f>
        <v>0</v>
      </c>
    </row>
    <row r="9" spans="1:18" ht="15" customHeight="1" x14ac:dyDescent="0.25">
      <c r="A9" s="105" t="str">
        <f ca="1"/>
        <v>Communication &amp; Publication</v>
      </c>
      <c r="B9" s="105">
        <f ca="1"/>
        <v>0</v>
      </c>
      <c r="C9" s="105">
        <f ca="1"/>
        <v>0</v>
      </c>
      <c r="D9" s="105">
        <f ca="1"/>
        <v>0</v>
      </c>
      <c r="E9" s="105">
        <f ca="1"/>
        <v>0</v>
      </c>
      <c r="F9" s="105">
        <f ca="1"/>
        <v>0</v>
      </c>
      <c r="G9" s="120">
        <f ca="1"/>
        <v>0</v>
      </c>
      <c r="I9" s="60" t="str">
        <f>INDEX(categories[Expense Categories],ROW()-ROW(budgetMilestone1Overall[#Headers]))</f>
        <v>Communication &amp; Publication</v>
      </c>
      <c r="J9" s="60">
        <f>SUMIFS(budgetMilestone1[Milestone 1],budgetMilestone1[Category],budgetMilestone1Overall[[#This Row],[Category]],budgetMilestone1[director], "&lt;&gt;1")</f>
        <v>0</v>
      </c>
      <c r="K9" s="60">
        <f ca="1">SUMIFS(budgetMilestone1[Milestone 2],budgetMilestone1[Category],budgetMilestone1Overall[[#This Row],[Category]],budgetMilestone1[director], "&lt;&gt;1")</f>
        <v>0</v>
      </c>
      <c r="L9" s="60">
        <f ca="1">SUMIFS(budgetMilestone1[Milestone 3],budgetMilestone1[Category],budgetMilestone1Overall[[#This Row],[Category]],budgetMilestone1[director], "&lt;&gt;1")</f>
        <v>0</v>
      </c>
      <c r="M9" s="60">
        <f ca="1">SUMIFS(budgetMilestone1[Milestone 4],budgetMilestone1[Category],budgetMilestone1Overall[[#This Row],[Category]],budgetMilestone1[director], "&lt;&gt;1")</f>
        <v>0</v>
      </c>
      <c r="N9" s="60">
        <f ca="1">SUMIFS(budgetMilestone1[Final],budgetMilestone1[Category],budgetMilestone1Overall[[#This Row],[Category]],budgetMilestone1[director], "&lt;&gt;1")</f>
        <v>0</v>
      </c>
      <c r="O9" s="60">
        <f ca="1">SUM(budgetMilestone1Overall[[#This Row],[Milestone 1]:[Final]])</f>
        <v>0</v>
      </c>
    </row>
    <row r="10" spans="1:18" ht="15" customHeight="1" x14ac:dyDescent="0.25">
      <c r="A10" s="105" t="str">
        <f ca="1"/>
        <v>Travel</v>
      </c>
      <c r="B10" s="105">
        <f ca="1"/>
        <v>0</v>
      </c>
      <c r="C10" s="105">
        <f ca="1"/>
        <v>0</v>
      </c>
      <c r="D10" s="105">
        <f ca="1"/>
        <v>0</v>
      </c>
      <c r="E10" s="105">
        <f ca="1"/>
        <v>0</v>
      </c>
      <c r="F10" s="105">
        <f ca="1"/>
        <v>0</v>
      </c>
      <c r="G10" s="120">
        <f ca="1"/>
        <v>0</v>
      </c>
      <c r="I10" s="60" t="str">
        <f>INDEX(categories[Expense Categories],ROW()-ROW(budgetMilestone1Overall[#Headers]))</f>
        <v>Travel</v>
      </c>
      <c r="J10" s="60">
        <f>SUMIFS(budgetMilestone1[Milestone 1],budgetMilestone1[Category],budgetMilestone1Overall[[#This Row],[Category]],budgetMilestone1[director], "&lt;&gt;1")</f>
        <v>0</v>
      </c>
      <c r="K10" s="60">
        <f ca="1">SUMIFS(budgetMilestone1[Milestone 2],budgetMilestone1[Category],budgetMilestone1Overall[[#This Row],[Category]],budgetMilestone1[director], "&lt;&gt;1")</f>
        <v>0</v>
      </c>
      <c r="L10" s="60">
        <f ca="1">SUMIFS(budgetMilestone1[Milestone 3],budgetMilestone1[Category],budgetMilestone1Overall[[#This Row],[Category]],budgetMilestone1[director], "&lt;&gt;1")</f>
        <v>0</v>
      </c>
      <c r="M10" s="60">
        <f ca="1">SUMIFS(budgetMilestone1[Milestone 4],budgetMilestone1[Category],budgetMilestone1Overall[[#This Row],[Category]],budgetMilestone1[director], "&lt;&gt;1")</f>
        <v>0</v>
      </c>
      <c r="N10" s="60">
        <f ca="1">SUMIFS(budgetMilestone1[Final],budgetMilestone1[Category],budgetMilestone1Overall[[#This Row],[Category]],budgetMilestone1[director], "&lt;&gt;1")</f>
        <v>0</v>
      </c>
      <c r="O10" s="60">
        <f ca="1">SUM(budgetMilestone1Overall[[#This Row],[Milestone 1]:[Final]])</f>
        <v>0</v>
      </c>
    </row>
    <row r="11" spans="1:18" ht="15" customHeight="1" x14ac:dyDescent="0.25">
      <c r="A11" s="105" t="str">
        <f ca="1"/>
        <v>Consumables</v>
      </c>
      <c r="B11" s="105">
        <f ca="1"/>
        <v>0</v>
      </c>
      <c r="C11" s="105">
        <f ca="1"/>
        <v>0</v>
      </c>
      <c r="D11" s="105">
        <f ca="1"/>
        <v>0</v>
      </c>
      <c r="E11" s="105">
        <f ca="1"/>
        <v>0</v>
      </c>
      <c r="F11" s="105">
        <f ca="1"/>
        <v>0</v>
      </c>
      <c r="G11" s="120">
        <f ca="1"/>
        <v>0</v>
      </c>
      <c r="I11" s="60" t="str">
        <f>INDEX(categories[Expense Categories],ROW()-ROW(budgetMilestone1Overall[#Headers]))</f>
        <v>Consumables</v>
      </c>
      <c r="J11" s="60">
        <f>SUMIFS(budgetMilestone1[Milestone 1],budgetMilestone1[Category],budgetMilestone1Overall[[#This Row],[Category]],budgetMilestone1[director], "&lt;&gt;1")</f>
        <v>0</v>
      </c>
      <c r="K11" s="60">
        <f ca="1">SUMIFS(budgetMilestone1[Milestone 2],budgetMilestone1[Category],budgetMilestone1Overall[[#This Row],[Category]],budgetMilestone1[director], "&lt;&gt;1")</f>
        <v>0</v>
      </c>
      <c r="L11" s="60">
        <f ca="1">SUMIFS(budgetMilestone1[Milestone 3],budgetMilestone1[Category],budgetMilestone1Overall[[#This Row],[Category]],budgetMilestone1[director], "&lt;&gt;1")</f>
        <v>0</v>
      </c>
      <c r="M11" s="60">
        <f ca="1">SUMIFS(budgetMilestone1[Milestone 4],budgetMilestone1[Category],budgetMilestone1Overall[[#This Row],[Category]],budgetMilestone1[director], "&lt;&gt;1")</f>
        <v>0</v>
      </c>
      <c r="N11" s="60">
        <f ca="1">SUMIFS(budgetMilestone1[Final],budgetMilestone1[Category],budgetMilestone1Overall[[#This Row],[Category]],budgetMilestone1[director], "&lt;&gt;1")</f>
        <v>0</v>
      </c>
      <c r="O11" s="60">
        <f ca="1">SUM(budgetMilestone1Overall[[#This Row],[Milestone 1]:[Final]])</f>
        <v>0</v>
      </c>
    </row>
    <row r="12" spans="1:18" ht="15" customHeight="1" x14ac:dyDescent="0.25">
      <c r="A12" s="105" t="str">
        <f ca="1"/>
        <v>Other</v>
      </c>
      <c r="B12" s="105">
        <f ca="1"/>
        <v>0</v>
      </c>
      <c r="C12" s="105">
        <f ca="1"/>
        <v>0</v>
      </c>
      <c r="D12" s="105">
        <f ca="1"/>
        <v>0</v>
      </c>
      <c r="E12" s="105">
        <f ca="1"/>
        <v>0</v>
      </c>
      <c r="F12" s="105">
        <f ca="1"/>
        <v>0</v>
      </c>
      <c r="G12" s="120">
        <f ca="1"/>
        <v>0</v>
      </c>
      <c r="I12" s="60" t="str">
        <f>INDEX(categories[Expense Categories],ROW()-ROW(budgetMilestone1Overall[#Headers]))</f>
        <v>Other</v>
      </c>
      <c r="J12" s="60">
        <f>SUMIFS(budgetMilestone1[Milestone 1],budgetMilestone1[Category],budgetMilestone1Overall[[#This Row],[Category]],budgetMilestone1[director], "&lt;&gt;1")</f>
        <v>0</v>
      </c>
      <c r="K12" s="60">
        <f ca="1">SUMIFS(budgetMilestone1[Milestone 2],budgetMilestone1[Category],budgetMilestone1Overall[[#This Row],[Category]],budgetMilestone1[director], "&lt;&gt;1")</f>
        <v>0</v>
      </c>
      <c r="L12" s="60">
        <f ca="1">SUMIFS(budgetMilestone1[Milestone 3],budgetMilestone1[Category],budgetMilestone1Overall[[#This Row],[Category]],budgetMilestone1[director], "&lt;&gt;1")</f>
        <v>0</v>
      </c>
      <c r="M12" s="60">
        <f ca="1">SUMIFS(budgetMilestone1[Milestone 4],budgetMilestone1[Category],budgetMilestone1Overall[[#This Row],[Category]],budgetMilestone1[director], "&lt;&gt;1")</f>
        <v>0</v>
      </c>
      <c r="N12" s="60">
        <f ca="1">SUMIFS(budgetMilestone1[Final],budgetMilestone1[Category],budgetMilestone1Overall[[#This Row],[Category]],budgetMilestone1[director], "&lt;&gt;1")</f>
        <v>0</v>
      </c>
      <c r="O12" s="60">
        <f ca="1">SUM(budgetMilestone1Overall[[#This Row],[Milestone 1]:[Final]])</f>
        <v>0</v>
      </c>
    </row>
    <row r="13" spans="1:18" ht="15" customHeight="1" x14ac:dyDescent="0.25">
      <c r="A13" s="105" t="str">
        <f ca="1"/>
        <v>Stipends</v>
      </c>
      <c r="B13" s="105">
        <f ca="1"/>
        <v>0</v>
      </c>
      <c r="C13" s="105">
        <f ca="1"/>
        <v>0</v>
      </c>
      <c r="D13" s="105">
        <f ca="1"/>
        <v>0</v>
      </c>
      <c r="E13" s="105">
        <f ca="1"/>
        <v>0</v>
      </c>
      <c r="F13" s="105">
        <f ca="1"/>
        <v>0</v>
      </c>
      <c r="G13" s="120">
        <f ca="1"/>
        <v>0</v>
      </c>
      <c r="I13" s="60" t="str">
        <f>INDEX(categories[Expense Categories],ROW()-ROW(budgetMilestone1Overall[#Headers]))</f>
        <v>Stipends</v>
      </c>
      <c r="J13" s="60">
        <f>SUMIFS(budgetMilestone1[Milestone 1],budgetMilestone1[Category],budgetMilestone1Overall[[#This Row],[Category]],budgetMilestone1[director], "&lt;&gt;1")</f>
        <v>0</v>
      </c>
      <c r="K13" s="60">
        <f ca="1">SUMIFS(budgetMilestone1[Milestone 2],budgetMilestone1[Category],budgetMilestone1Overall[[#This Row],[Category]],budgetMilestone1[director], "&lt;&gt;1")</f>
        <v>0</v>
      </c>
      <c r="L13" s="60">
        <f ca="1">SUMIFS(budgetMilestone1[Milestone 3],budgetMilestone1[Category],budgetMilestone1Overall[[#This Row],[Category]],budgetMilestone1[director], "&lt;&gt;1")</f>
        <v>0</v>
      </c>
      <c r="M13" s="60">
        <f ca="1">SUMIFS(budgetMilestone1[Milestone 4],budgetMilestone1[Category],budgetMilestone1Overall[[#This Row],[Category]],budgetMilestone1[director], "&lt;&gt;1")</f>
        <v>0</v>
      </c>
      <c r="N13" s="60">
        <f ca="1">SUMIFS(budgetMilestone1[Final],budgetMilestone1[Category],budgetMilestone1Overall[[#This Row],[Category]],budgetMilestone1[director], "&lt;&gt;1")</f>
        <v>0</v>
      </c>
      <c r="O13" s="60">
        <f ca="1">SUM(budgetMilestone1Overall[[#This Row],[Milestone 1]:[Final]])</f>
        <v>0</v>
      </c>
    </row>
    <row r="14" spans="1:18" ht="15" customHeight="1" thickBot="1" x14ac:dyDescent="0.3">
      <c r="A14" s="119" t="str">
        <f ca="1"/>
        <v>Co-financing of personnel</v>
      </c>
      <c r="B14" s="119">
        <f ca="1"/>
        <v>0</v>
      </c>
      <c r="C14" s="119">
        <f ca="1"/>
        <v>0</v>
      </c>
      <c r="D14" s="119">
        <f ca="1"/>
        <v>0</v>
      </c>
      <c r="E14" s="119">
        <f ca="1"/>
        <v>0</v>
      </c>
      <c r="F14" s="119">
        <f ca="1"/>
        <v>0</v>
      </c>
      <c r="G14" s="121">
        <f ca="1"/>
        <v>0</v>
      </c>
      <c r="I14" s="60" t="str">
        <f>INDEX(categories[Expense Categories],ROW()-ROW(budgetMilestone1Overall[#Headers]))</f>
        <v>Co-financing of personnel</v>
      </c>
      <c r="J14" s="60">
        <f>SUMIFS(budgetMilestone1[Milestone 1],budgetMilestone1[Category],budgetMilestone1Overall[[#This Row],[Category]],budgetMilestone1[director], "&lt;&gt;1")</f>
        <v>0</v>
      </c>
      <c r="K14" s="60">
        <f ca="1">SUMIFS(budgetMilestone1[Milestone 2],budgetMilestone1[Category],budgetMilestone1Overall[[#This Row],[Category]],budgetMilestone1[director], "&lt;&gt;1")</f>
        <v>0</v>
      </c>
      <c r="L14" s="60">
        <f ca="1">SUMIFS(budgetMilestone1[Milestone 3],budgetMilestone1[Category],budgetMilestone1Overall[[#This Row],[Category]],budgetMilestone1[director], "&lt;&gt;1")</f>
        <v>0</v>
      </c>
      <c r="M14" s="60">
        <f ca="1">SUMIFS(budgetMilestone1[Milestone 4],budgetMilestone1[Category],budgetMilestone1Overall[[#This Row],[Category]],budgetMilestone1[director], "&lt;&gt;1")</f>
        <v>0</v>
      </c>
      <c r="N14" s="60">
        <f ca="1">SUMIFS(budgetMilestone1[Final],budgetMilestone1[Category],budgetMilestone1Overall[[#This Row],[Category]],budgetMilestone1[director], "&lt;&gt;1")</f>
        <v>0</v>
      </c>
      <c r="O14" s="60">
        <f ca="1">SUM(budgetMilestone1Overall[[#This Row],[Milestone 1]:[Final]])</f>
        <v>0</v>
      </c>
    </row>
    <row r="15" spans="1:18" ht="15" customHeight="1" thickTop="1" x14ac:dyDescent="0.25">
      <c r="A15" s="114" t="str">
        <f ca="1"/>
        <v>Total</v>
      </c>
      <c r="B15" s="114">
        <f ca="1"/>
        <v>0</v>
      </c>
      <c r="C15" s="114">
        <f ca="1"/>
        <v>0</v>
      </c>
      <c r="D15" s="114">
        <f ca="1"/>
        <v>0</v>
      </c>
      <c r="E15" s="114">
        <f ca="1"/>
        <v>0</v>
      </c>
      <c r="F15" s="114">
        <f ca="1"/>
        <v>0</v>
      </c>
      <c r="G15" s="115">
        <f ca="1"/>
        <v>0</v>
      </c>
      <c r="I15" s="60" t="s">
        <v>403</v>
      </c>
      <c r="J15" s="60">
        <f>SUBTOTAL(109,budgetMilestone1Overall[Milestone 1])</f>
        <v>0</v>
      </c>
      <c r="K15" s="60">
        <f ca="1">SUBTOTAL(109,budgetMilestone1Overall[Milestone 2])</f>
        <v>0</v>
      </c>
      <c r="L15" s="60">
        <f ca="1">SUBTOTAL(109,budgetMilestone1Overall[Milestone 3])</f>
        <v>0</v>
      </c>
      <c r="M15" s="60">
        <f ca="1">SUBTOTAL(109,budgetMilestone1Overall[Milestone 4])</f>
        <v>0</v>
      </c>
      <c r="N15" s="60">
        <f ca="1">SUBTOTAL(109,budgetMilestone1Overall[Final])</f>
        <v>0</v>
      </c>
      <c r="O15" s="60">
        <f ca="1">SUBTOTAL(109,budgetMilestone1Overall[Total])</f>
        <v>0</v>
      </c>
      <c r="P15" s="47"/>
      <c r="Q15" s="47"/>
      <c r="R15" s="47"/>
    </row>
    <row r="16" spans="1:18" ht="15" customHeight="1" x14ac:dyDescent="0.25">
      <c r="A16" s="60">
        <f ca="1"/>
        <v>0</v>
      </c>
      <c r="B16" s="60">
        <f ca="1"/>
        <v>0</v>
      </c>
      <c r="C16" s="60">
        <f ca="1"/>
        <v>0</v>
      </c>
      <c r="D16" s="60">
        <f ca="1"/>
        <v>0</v>
      </c>
      <c r="E16" s="60">
        <f ca="1"/>
        <v>0</v>
      </c>
      <c r="F16" s="60">
        <f ca="1"/>
        <v>0</v>
      </c>
      <c r="G16" s="60">
        <f ca="1"/>
        <v>0</v>
      </c>
    </row>
    <row r="17" spans="1:18" ht="26.25" thickBot="1" x14ac:dyDescent="0.3">
      <c r="A17" s="106" t="str">
        <f ca="1"/>
        <v>Category</v>
      </c>
      <c r="B17" s="116" t="str">
        <f ca="1"/>
        <v>Milestone 1</v>
      </c>
      <c r="C17" s="116" t="str">
        <f ca="1"/>
        <v>Milestone 2</v>
      </c>
      <c r="D17" s="116" t="str">
        <f ca="1"/>
        <v>Milestone 3</v>
      </c>
      <c r="E17" s="106" t="str">
        <f ca="1"/>
        <v>Milestone 4</v>
      </c>
      <c r="F17" s="106" t="str">
        <f ca="1"/>
        <v>Final</v>
      </c>
      <c r="G17" s="106" t="str">
        <f ca="1"/>
        <v>Total</v>
      </c>
      <c r="I17" s="62" t="s">
        <v>395</v>
      </c>
      <c r="J17" s="72" t="s">
        <v>407</v>
      </c>
      <c r="K17" s="72" t="s">
        <v>408</v>
      </c>
      <c r="L17" s="72" t="s">
        <v>409</v>
      </c>
      <c r="M17" s="72" t="s">
        <v>485</v>
      </c>
      <c r="N17" s="62" t="s">
        <v>410</v>
      </c>
      <c r="O17" s="81" t="s">
        <v>403</v>
      </c>
      <c r="P17" s="62" t="s">
        <v>427</v>
      </c>
      <c r="Q17" s="62" t="s">
        <v>428</v>
      </c>
      <c r="R17" s="62" t="s">
        <v>429</v>
      </c>
    </row>
    <row r="18" spans="1:18" ht="15" customHeight="1" thickTop="1" x14ac:dyDescent="0.25">
      <c r="A18" s="108" t="str">
        <f ca="1"/>
        <v xml:space="preserve">0 / </v>
      </c>
      <c r="B18" s="117">
        <f ca="1"/>
        <v>0</v>
      </c>
      <c r="C18" s="63">
        <f ca="1"/>
        <v>0</v>
      </c>
      <c r="D18" s="63">
        <f ca="1"/>
        <v>0</v>
      </c>
      <c r="E18" s="63">
        <f ca="1"/>
        <v>0</v>
      </c>
      <c r="F18" s="63">
        <f ca="1"/>
        <v>0</v>
      </c>
      <c r="G18" s="63">
        <f ca="1"/>
        <v>0</v>
      </c>
      <c r="I18"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xml:space="preserve">0 / </v>
      </c>
      <c r="O18" s="60">
        <f>SUM(budgetMilestone1[[#This Row],[Milestone 1]:[Final]])</f>
        <v>0</v>
      </c>
      <c r="P18" s="60">
        <f>ROW()-ROW(budgetMilestone1[#Headers])</f>
        <v>1</v>
      </c>
      <c r="Q18" s="60">
        <f>IF(budgetMilestone1[row] &lt;= numCategories +3, budgetMilestone1[row]-1, MOD(budgetMilestone1[row]-1,numCategories+3) + IF(MOD(budgetMilestone1[row]-2,numCategories+2)&gt;numCategories+1, 1,0))</f>
        <v>0</v>
      </c>
      <c r="R18" s="60">
        <f>IFERROR(INDEX(directors[Last],MAX(1,FLOOR((budgetMilestone1[row]-1)/(numCategories+3)+1,1))),1)</f>
        <v>0</v>
      </c>
    </row>
    <row r="19" spans="1:18" ht="15" customHeight="1" x14ac:dyDescent="0.25">
      <c r="A19" s="105" t="str">
        <f ca="1"/>
        <v>Equipment</v>
      </c>
      <c r="B19" s="118">
        <f ca="1"/>
        <v>0</v>
      </c>
      <c r="C19" s="105">
        <f ca="1"/>
        <v>0</v>
      </c>
      <c r="D19" s="105">
        <f ca="1"/>
        <v>0</v>
      </c>
      <c r="E19" s="105">
        <f ca="1"/>
        <v>0</v>
      </c>
      <c r="F19" s="105">
        <f ca="1"/>
        <v>0</v>
      </c>
      <c r="G19" s="105">
        <f ca="1"/>
        <v>0</v>
      </c>
      <c r="I19"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Equipment</v>
      </c>
      <c r="J19" s="60">
        <f>SUMIFS(ARF[Amount in Euro], ARF[Co Director],budgetMilestone1[director], ARF[Category], budgetMilestone1[Category], ARF[Date], "&gt;" &amp; cleanDateKickoff,ARF[Date], "&lt;=" &amp; cleanDateMilestone1)</f>
        <v>0</v>
      </c>
      <c r="K19" s="85">
        <f ca="1">'Milestone 1'!$C19</f>
        <v>0</v>
      </c>
      <c r="L19" s="85">
        <f ca="1">'Milestone 1'!$D19</f>
        <v>0</v>
      </c>
      <c r="M19" s="85">
        <f ca="1">'Milestone 1'!$E19</f>
        <v>0</v>
      </c>
      <c r="N19" s="85">
        <f ca="1">'Milestone 1'!$F19</f>
        <v>0</v>
      </c>
      <c r="O19" s="60">
        <f ca="1">SUM(budgetMilestone1[[#This Row],[Milestone 1]:[Final]])</f>
        <v>0</v>
      </c>
      <c r="P19" s="60">
        <f>ROW()-ROW(budgetMilestone1[#Headers])</f>
        <v>2</v>
      </c>
      <c r="Q19" s="60">
        <f>IF(budgetMilestone1[row] &lt;= numCategories +3, budgetMilestone1[row]-1, MOD(budgetMilestone1[row]-1,numCategories+3) + IF(MOD(budgetMilestone1[row]-2,numCategories+2)&gt;numCategories+1, 1,0))</f>
        <v>1</v>
      </c>
      <c r="R19" s="60">
        <f>IFERROR(INDEX(directors[Last],MAX(1,FLOOR((budgetMilestone1[row]-1)/(numCategories+3)+1,1))),1)</f>
        <v>0</v>
      </c>
    </row>
    <row r="20" spans="1:18" ht="15" customHeight="1" x14ac:dyDescent="0.25">
      <c r="A20" s="105" t="str">
        <f ca="1"/>
        <v>Training</v>
      </c>
      <c r="B20" s="118">
        <f ca="1"/>
        <v>0</v>
      </c>
      <c r="C20" s="105">
        <f ca="1"/>
        <v>0</v>
      </c>
      <c r="D20" s="105">
        <f ca="1"/>
        <v>0</v>
      </c>
      <c r="E20" s="105">
        <f ca="1"/>
        <v>0</v>
      </c>
      <c r="F20" s="105">
        <f ca="1"/>
        <v>0</v>
      </c>
      <c r="G20" s="105">
        <f ca="1"/>
        <v>0</v>
      </c>
      <c r="I20"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Training</v>
      </c>
      <c r="J20" s="60">
        <f>SUMIFS(ARF[Amount in Euro], ARF[Co Director],budgetMilestone1[director], ARF[Category], budgetMilestone1[Category], ARF[Date], "&gt;" &amp; cleanDateKickoff,ARF[Date], "&lt;=" &amp; cleanDateMilestone1)</f>
        <v>0</v>
      </c>
      <c r="K20" s="85">
        <f ca="1">'Milestone 1'!$C20</f>
        <v>0</v>
      </c>
      <c r="L20" s="85">
        <f ca="1">'Milestone 1'!$D20</f>
        <v>0</v>
      </c>
      <c r="M20" s="85">
        <f ca="1">'Milestone 1'!$E20</f>
        <v>0</v>
      </c>
      <c r="N20" s="85">
        <f ca="1">'Milestone 1'!$F20</f>
        <v>0</v>
      </c>
      <c r="O20" s="60">
        <f ca="1">SUM(budgetMilestone1[[#This Row],[Milestone 1]:[Final]])</f>
        <v>0</v>
      </c>
      <c r="P20" s="60">
        <f>ROW()-ROW(budgetMilestone1[#Headers])</f>
        <v>3</v>
      </c>
      <c r="Q20" s="60">
        <f>IF(budgetMilestone1[row] &lt;= numCategories +3, budgetMilestone1[row]-1, MOD(budgetMilestone1[row]-1,numCategories+3) + IF(MOD(budgetMilestone1[row]-2,numCategories+2)&gt;numCategories+1, 1,0))</f>
        <v>2</v>
      </c>
      <c r="R20" s="60">
        <f>IFERROR(INDEX(directors[Last],MAX(1,FLOOR((budgetMilestone1[row]-1)/(numCategories+3)+1,1))),1)</f>
        <v>0</v>
      </c>
    </row>
    <row r="21" spans="1:18" ht="15" customHeight="1" x14ac:dyDescent="0.25">
      <c r="A21" s="105" t="str">
        <f ca="1"/>
        <v>Communication &amp; Publication</v>
      </c>
      <c r="B21" s="118">
        <f ca="1"/>
        <v>0</v>
      </c>
      <c r="C21" s="105">
        <f ca="1"/>
        <v>0</v>
      </c>
      <c r="D21" s="105">
        <f ca="1"/>
        <v>0</v>
      </c>
      <c r="E21" s="105">
        <f ca="1"/>
        <v>0</v>
      </c>
      <c r="F21" s="105">
        <f ca="1"/>
        <v>0</v>
      </c>
      <c r="G21" s="105">
        <f ca="1"/>
        <v>0</v>
      </c>
      <c r="I21"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Communication &amp; Publication</v>
      </c>
      <c r="J21" s="60">
        <f>SUMIFS(ARF[Amount in Euro], ARF[Co Director],budgetMilestone1[director], ARF[Category], budgetMilestone1[Category], ARF[Date], "&gt;" &amp; cleanDateKickoff,ARF[Date], "&lt;=" &amp; cleanDateMilestone1)</f>
        <v>0</v>
      </c>
      <c r="K21" s="85">
        <f ca="1">'Milestone 1'!$C21</f>
        <v>0</v>
      </c>
      <c r="L21" s="85">
        <f ca="1">'Milestone 1'!$D21</f>
        <v>0</v>
      </c>
      <c r="M21" s="85">
        <f ca="1">'Milestone 1'!$E21</f>
        <v>0</v>
      </c>
      <c r="N21" s="85">
        <f ca="1">'Milestone 1'!$F21</f>
        <v>0</v>
      </c>
      <c r="O21" s="60">
        <f ca="1">SUM(budgetMilestone1[[#This Row],[Milestone 1]:[Final]])</f>
        <v>0</v>
      </c>
      <c r="P21" s="60">
        <f>ROW()-ROW(budgetMilestone1[#Headers])</f>
        <v>4</v>
      </c>
      <c r="Q21" s="60">
        <f>IF(budgetMilestone1[row] &lt;= numCategories +3, budgetMilestone1[row]-1, MOD(budgetMilestone1[row]-1,numCategories+3) + IF(MOD(budgetMilestone1[row]-2,numCategories+2)&gt;numCategories+1, 1,0))</f>
        <v>3</v>
      </c>
      <c r="R21" s="60">
        <f>IFERROR(INDEX(directors[Last],MAX(1,FLOOR((budgetMilestone1[row]-1)/(numCategories+3)+1,1))),1)</f>
        <v>0</v>
      </c>
    </row>
    <row r="22" spans="1:18" ht="15" customHeight="1" x14ac:dyDescent="0.25">
      <c r="A22" s="105" t="str">
        <f ca="1"/>
        <v>Travel</v>
      </c>
      <c r="B22" s="118">
        <f ca="1"/>
        <v>0</v>
      </c>
      <c r="C22" s="105">
        <f ca="1"/>
        <v>0</v>
      </c>
      <c r="D22" s="105">
        <f ca="1"/>
        <v>0</v>
      </c>
      <c r="E22" s="105">
        <f ca="1"/>
        <v>0</v>
      </c>
      <c r="F22" s="105">
        <f ca="1"/>
        <v>0</v>
      </c>
      <c r="G22" s="105">
        <f ca="1"/>
        <v>0</v>
      </c>
      <c r="I22"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Travel</v>
      </c>
      <c r="J22" s="60">
        <f>SUMIFS(ARF[Amount in Euro], ARF[Co Director],budgetMilestone1[director], ARF[Category], budgetMilestone1[Category], ARF[Date], "&gt;" &amp; cleanDateKickoff,ARF[Date], "&lt;=" &amp; cleanDateMilestone1)</f>
        <v>0</v>
      </c>
      <c r="K22" s="85">
        <f ca="1">'Milestone 1'!$C22</f>
        <v>0</v>
      </c>
      <c r="L22" s="85">
        <f ca="1">'Milestone 1'!$D22</f>
        <v>0</v>
      </c>
      <c r="M22" s="85">
        <f ca="1">'Milestone 1'!$E22</f>
        <v>0</v>
      </c>
      <c r="N22" s="85">
        <f ca="1">'Milestone 1'!$F22</f>
        <v>0</v>
      </c>
      <c r="O22" s="60">
        <f ca="1">SUM(budgetMilestone1[[#This Row],[Milestone 1]:[Final]])</f>
        <v>0</v>
      </c>
      <c r="P22" s="60">
        <f>ROW()-ROW(budgetMilestone1[#Headers])</f>
        <v>5</v>
      </c>
      <c r="Q22" s="60">
        <f>IF(budgetMilestone1[row] &lt;= numCategories +3, budgetMilestone1[row]-1, MOD(budgetMilestone1[row]-1,numCategories+3) + IF(MOD(budgetMilestone1[row]-2,numCategories+2)&gt;numCategories+1, 1,0))</f>
        <v>4</v>
      </c>
      <c r="R22" s="60">
        <f>IFERROR(INDEX(directors[Last],MAX(1,FLOOR((budgetMilestone1[row]-1)/(numCategories+3)+1,1))),1)</f>
        <v>0</v>
      </c>
    </row>
    <row r="23" spans="1:18" ht="15" customHeight="1" x14ac:dyDescent="0.25">
      <c r="A23" s="105" t="str">
        <f ca="1"/>
        <v>Consumables</v>
      </c>
      <c r="B23" s="118">
        <f ca="1"/>
        <v>0</v>
      </c>
      <c r="C23" s="105">
        <f ca="1"/>
        <v>0</v>
      </c>
      <c r="D23" s="105">
        <f ca="1"/>
        <v>0</v>
      </c>
      <c r="E23" s="105">
        <f ca="1"/>
        <v>0</v>
      </c>
      <c r="F23" s="105">
        <f ca="1"/>
        <v>0</v>
      </c>
      <c r="G23" s="105">
        <f ca="1"/>
        <v>0</v>
      </c>
      <c r="I23"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Consumables</v>
      </c>
      <c r="J23" s="60">
        <f>SUMIFS(ARF[Amount in Euro], ARF[Co Director],budgetMilestone1[director], ARF[Category], budgetMilestone1[Category], ARF[Date], "&gt;" &amp; cleanDateKickoff,ARF[Date], "&lt;=" &amp; cleanDateMilestone1)</f>
        <v>0</v>
      </c>
      <c r="K23" s="85">
        <f ca="1">'Milestone 1'!$C23</f>
        <v>0</v>
      </c>
      <c r="L23" s="85">
        <f ca="1">'Milestone 1'!$D23</f>
        <v>0</v>
      </c>
      <c r="M23" s="85">
        <f ca="1">'Milestone 1'!$E23</f>
        <v>0</v>
      </c>
      <c r="N23" s="85">
        <f ca="1">'Milestone 1'!$F23</f>
        <v>0</v>
      </c>
      <c r="O23" s="60">
        <f ca="1">SUM(budgetMilestone1[[#This Row],[Milestone 1]:[Final]])</f>
        <v>0</v>
      </c>
      <c r="P23" s="60">
        <f>ROW()-ROW(budgetMilestone1[#Headers])</f>
        <v>6</v>
      </c>
      <c r="Q23" s="60">
        <f>IF(budgetMilestone1[row] &lt;= numCategories +3, budgetMilestone1[row]-1, MOD(budgetMilestone1[row]-1,numCategories+3) + IF(MOD(budgetMilestone1[row]-2,numCategories+2)&gt;numCategories+1, 1,0))</f>
        <v>5</v>
      </c>
      <c r="R23" s="60">
        <f>IFERROR(INDEX(directors[Last],MAX(1,FLOOR((budgetMilestone1[row]-1)/(numCategories+3)+1,1))),1)</f>
        <v>0</v>
      </c>
    </row>
    <row r="24" spans="1:18" ht="15" customHeight="1" x14ac:dyDescent="0.25">
      <c r="A24" s="105" t="str">
        <f ca="1"/>
        <v>Other</v>
      </c>
      <c r="B24" s="118">
        <f ca="1"/>
        <v>0</v>
      </c>
      <c r="C24" s="105">
        <f ca="1"/>
        <v>0</v>
      </c>
      <c r="D24" s="105">
        <f ca="1"/>
        <v>0</v>
      </c>
      <c r="E24" s="105">
        <f ca="1"/>
        <v>0</v>
      </c>
      <c r="F24" s="105">
        <f ca="1"/>
        <v>0</v>
      </c>
      <c r="G24" s="105">
        <f ca="1"/>
        <v>0</v>
      </c>
      <c r="I24"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Other</v>
      </c>
      <c r="J24" s="60">
        <f>SUMIFS(ARF[Amount in Euro], ARF[Co Director],budgetMilestone1[director], ARF[Category], budgetMilestone1[Category], ARF[Date], "&gt;" &amp; cleanDateKickoff,ARF[Date], "&lt;=" &amp; cleanDateMilestone1)</f>
        <v>0</v>
      </c>
      <c r="K24" s="85">
        <f ca="1">'Milestone 1'!$C24</f>
        <v>0</v>
      </c>
      <c r="L24" s="85">
        <f ca="1">'Milestone 1'!$D24</f>
        <v>0</v>
      </c>
      <c r="M24" s="85">
        <f ca="1">'Milestone 1'!$E24</f>
        <v>0</v>
      </c>
      <c r="N24" s="85">
        <f ca="1">'Milestone 1'!$F24</f>
        <v>0</v>
      </c>
      <c r="O24" s="60">
        <f ca="1">SUM(budgetMilestone1[[#This Row],[Milestone 1]:[Final]])</f>
        <v>0</v>
      </c>
      <c r="P24" s="60">
        <f>ROW()-ROW(budgetMilestone1[#Headers])</f>
        <v>7</v>
      </c>
      <c r="Q24" s="60">
        <f>IF(budgetMilestone1[row] &lt;= numCategories +3, budgetMilestone1[row]-1, MOD(budgetMilestone1[row]-1,numCategories+3) + IF(MOD(budgetMilestone1[row]-2,numCategories+2)&gt;numCategories+1, 1,0))</f>
        <v>6</v>
      </c>
      <c r="R24" s="60">
        <f>IFERROR(INDEX(directors[Last],MAX(1,FLOOR((budgetMilestone1[row]-1)/(numCategories+3)+1,1))),1)</f>
        <v>0</v>
      </c>
    </row>
    <row r="25" spans="1:18" ht="15" customHeight="1" x14ac:dyDescent="0.25">
      <c r="A25" s="105" t="str">
        <f ca="1"/>
        <v>Stipends</v>
      </c>
      <c r="B25" s="118">
        <f ca="1"/>
        <v>0</v>
      </c>
      <c r="C25" s="105">
        <f ca="1"/>
        <v>0</v>
      </c>
      <c r="D25" s="105">
        <f ca="1"/>
        <v>0</v>
      </c>
      <c r="E25" s="105">
        <f ca="1"/>
        <v>0</v>
      </c>
      <c r="F25" s="105">
        <f ca="1"/>
        <v>0</v>
      </c>
      <c r="G25" s="105">
        <f ca="1"/>
        <v>0</v>
      </c>
      <c r="I25"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Stipends</v>
      </c>
      <c r="J25" s="60">
        <f>SUMIFS(ARF[Amount in Euro], ARF[Co Director],budgetMilestone1[director], ARF[Category], budgetMilestone1[Category], ARF[Date], "&gt;" &amp; cleanDateKickoff,ARF[Date], "&lt;=" &amp; cleanDateMilestone1)</f>
        <v>0</v>
      </c>
      <c r="K25" s="85">
        <f ca="1">'Milestone 1'!$C25</f>
        <v>0</v>
      </c>
      <c r="L25" s="85">
        <f ca="1">'Milestone 1'!$D25</f>
        <v>0</v>
      </c>
      <c r="M25" s="85">
        <f ca="1">'Milestone 1'!$E25</f>
        <v>0</v>
      </c>
      <c r="N25" s="85">
        <f ca="1">'Milestone 1'!$F25</f>
        <v>0</v>
      </c>
      <c r="O25" s="60">
        <f ca="1">SUM(budgetMilestone1[[#This Row],[Milestone 1]:[Final]])</f>
        <v>0</v>
      </c>
      <c r="P25" s="60">
        <f>ROW()-ROW(budgetMilestone1[#Headers])</f>
        <v>8</v>
      </c>
      <c r="Q25" s="60">
        <f>IF(budgetMilestone1[row] &lt;= numCategories +3, budgetMilestone1[row]-1, MOD(budgetMilestone1[row]-1,numCategories+3) + IF(MOD(budgetMilestone1[row]-2,numCategories+2)&gt;numCategories+1, 1,0))</f>
        <v>7</v>
      </c>
      <c r="R25" s="60">
        <f>IFERROR(INDEX(directors[Last],MAX(1,FLOOR((budgetMilestone1[row]-1)/(numCategories+3)+1,1))),1)</f>
        <v>0</v>
      </c>
    </row>
    <row r="26" spans="1:18" ht="15" customHeight="1" x14ac:dyDescent="0.25">
      <c r="A26" s="105" t="str">
        <f ca="1"/>
        <v>Co-financing of personnel</v>
      </c>
      <c r="B26" s="118">
        <f ca="1"/>
        <v>0</v>
      </c>
      <c r="C26" s="105">
        <f ca="1"/>
        <v>0</v>
      </c>
      <c r="D26" s="105">
        <f ca="1"/>
        <v>0</v>
      </c>
      <c r="E26" s="105">
        <f ca="1"/>
        <v>0</v>
      </c>
      <c r="F26" s="105">
        <f ca="1"/>
        <v>0</v>
      </c>
      <c r="G26" s="105">
        <f ca="1"/>
        <v>0</v>
      </c>
      <c r="I26"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Co-financing of personnel</v>
      </c>
      <c r="J26" s="60">
        <f>SUMIFS(ARF[Amount in Euro], ARF[Co Director],budgetMilestone1[director], ARF[Category], budgetMilestone1[Category], ARF[Date], "&gt;" &amp; cleanDateKickoff,ARF[Date], "&lt;=" &amp; cleanDateMilestone1)</f>
        <v>0</v>
      </c>
      <c r="K26" s="85">
        <f ca="1">'Milestone 1'!$C26</f>
        <v>0</v>
      </c>
      <c r="L26" s="85">
        <f ca="1">'Milestone 1'!$D26</f>
        <v>0</v>
      </c>
      <c r="M26" s="85">
        <f ca="1">'Milestone 1'!$E26</f>
        <v>0</v>
      </c>
      <c r="N26" s="85">
        <f ca="1">'Milestone 1'!$F26</f>
        <v>0</v>
      </c>
      <c r="O26" s="60">
        <f ca="1">SUM(budgetMilestone1[[#This Row],[Milestone 1]:[Final]])</f>
        <v>0</v>
      </c>
      <c r="P26" s="60">
        <f>ROW()-ROW(budgetMilestone1[#Headers])</f>
        <v>9</v>
      </c>
      <c r="Q26" s="60">
        <f>IF(budgetMilestone1[row] &lt;= numCategories +3, budgetMilestone1[row]-1, MOD(budgetMilestone1[row]-1,numCategories+3) + IF(MOD(budgetMilestone1[row]-2,numCategories+2)&gt;numCategories+1, 1,0))</f>
        <v>8</v>
      </c>
      <c r="R26" s="60">
        <f>IFERROR(INDEX(directors[Last],MAX(1,FLOOR((budgetMilestone1[row]-1)/(numCategories+3)+1,1))),1)</f>
        <v>0</v>
      </c>
    </row>
    <row r="27" spans="1:18" ht="15" customHeight="1" x14ac:dyDescent="0.25">
      <c r="A27" s="105" t="str">
        <f ca="1"/>
        <v>Subtotal 0</v>
      </c>
      <c r="B27" s="118">
        <f ca="1"/>
        <v>0</v>
      </c>
      <c r="C27" s="105">
        <f ca="1"/>
        <v>0</v>
      </c>
      <c r="D27" s="105">
        <f ca="1"/>
        <v>0</v>
      </c>
      <c r="E27" s="105">
        <f ca="1"/>
        <v>0</v>
      </c>
      <c r="F27" s="105">
        <f ca="1"/>
        <v>0</v>
      </c>
      <c r="G27" s="105">
        <f ca="1"/>
        <v>0</v>
      </c>
      <c r="I27"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Subtotal 0</v>
      </c>
      <c r="J27" s="60">
        <f t="shared" ref="J27:O27" si="0">SUBTOTAL(9,J19:J26)</f>
        <v>0</v>
      </c>
      <c r="K27" s="60">
        <f t="shared" ca="1" si="0"/>
        <v>0</v>
      </c>
      <c r="L27" s="60">
        <f t="shared" ca="1" si="0"/>
        <v>0</v>
      </c>
      <c r="M27" s="60">
        <f t="shared" ca="1" si="0"/>
        <v>0</v>
      </c>
      <c r="N27" s="60">
        <f t="shared" ca="1" si="0"/>
        <v>0</v>
      </c>
      <c r="O27" s="60">
        <f t="shared" ca="1" si="0"/>
        <v>0</v>
      </c>
      <c r="P27" s="60">
        <f>ROW()-ROW(budgetMilestone1[#Headers])</f>
        <v>10</v>
      </c>
      <c r="Q27" s="60">
        <f>IF(budgetMilestone1[row] &lt;= numCategories +3, budgetMilestone1[row]-1, MOD(budgetMilestone1[row]-1,numCategories+3) + IF(MOD(budgetMilestone1[row]-2,numCategories+2)&gt;numCategories+1, 1,0))</f>
        <v>9</v>
      </c>
      <c r="R27" s="60">
        <f>IFERROR(INDEX(directors[Last],MAX(1,FLOOR((budgetMilestone1[row]-1)/(numCategories+3)+1,1))),1)</f>
        <v>0</v>
      </c>
    </row>
    <row r="28" spans="1:18" ht="15" customHeight="1" x14ac:dyDescent="0.25">
      <c r="A28" s="105" t="str">
        <f ca="1"/>
        <v/>
      </c>
      <c r="B28" s="105">
        <f ca="1"/>
        <v>0</v>
      </c>
      <c r="C28" s="105">
        <f ca="1"/>
        <v>0</v>
      </c>
      <c r="D28" s="105">
        <f ca="1"/>
        <v>0</v>
      </c>
      <c r="E28" s="105">
        <f ca="1"/>
        <v>0</v>
      </c>
      <c r="F28" s="105">
        <f ca="1"/>
        <v>0</v>
      </c>
      <c r="G28" s="105">
        <f ca="1"/>
        <v>0</v>
      </c>
      <c r="I28"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c>
      <c r="O28" s="60">
        <f>SUM(budgetMilestone1[[#This Row],[Milestone 1]:[Final]])</f>
        <v>0</v>
      </c>
      <c r="P28" s="60">
        <f>ROW()-ROW(budgetMilestone1[#Headers])</f>
        <v>11</v>
      </c>
      <c r="Q28" s="60">
        <f>IF(budgetMilestone1[row] &lt;= numCategories +3, budgetMilestone1[row]-1, MOD(budgetMilestone1[row]-1,numCategories+3) + IF(MOD(budgetMilestone1[row]-2,numCategories+2)&gt;numCategories+1, 1,0))</f>
        <v>10</v>
      </c>
      <c r="R28" s="60">
        <f>IFERROR(INDEX(directors[Last],MAX(1,FLOOR((budgetMilestone1[row]-1)/(numCategories+3)+1,1))),1)</f>
        <v>0</v>
      </c>
    </row>
    <row r="29" spans="1:18" ht="15" customHeight="1" x14ac:dyDescent="0.25">
      <c r="A29" s="105" t="str">
        <f ca="1"/>
        <v xml:space="preserve">0 / </v>
      </c>
      <c r="B29" s="105">
        <f ca="1"/>
        <v>0</v>
      </c>
      <c r="C29" s="105">
        <f ca="1"/>
        <v>0</v>
      </c>
      <c r="D29" s="105">
        <f ca="1"/>
        <v>0</v>
      </c>
      <c r="E29" s="105">
        <f ca="1"/>
        <v>0</v>
      </c>
      <c r="F29" s="105">
        <f ca="1"/>
        <v>0</v>
      </c>
      <c r="G29" s="105">
        <f ca="1"/>
        <v>0</v>
      </c>
      <c r="I29"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xml:space="preserve">0 / </v>
      </c>
      <c r="O29" s="60">
        <f>SUM(budgetMilestone1[[#This Row],[Milestone 1]:[Final]])</f>
        <v>0</v>
      </c>
      <c r="P29" s="60">
        <f>ROW()-ROW(budgetMilestone1[#Headers])</f>
        <v>12</v>
      </c>
      <c r="Q29" s="60">
        <f>IF(budgetMilestone1[row] &lt;= numCategories +3, budgetMilestone1[row]-1, MOD(budgetMilestone1[row]-1,numCategories+3) + IF(MOD(budgetMilestone1[row]-2,numCategories+2)&gt;numCategories+1, 1,0))</f>
        <v>0</v>
      </c>
      <c r="R29" s="60">
        <f>IFERROR(INDEX(directors[Last],MAX(1,FLOOR((budgetMilestone1[row]-1)/(numCategories+3)+1,1))),1)</f>
        <v>0</v>
      </c>
    </row>
    <row r="30" spans="1:18" ht="15" customHeight="1" x14ac:dyDescent="0.25">
      <c r="A30" s="105" t="str">
        <f ca="1"/>
        <v>Equipment</v>
      </c>
      <c r="B30" s="105">
        <f ca="1"/>
        <v>0</v>
      </c>
      <c r="C30" s="105">
        <f ca="1"/>
        <v>0</v>
      </c>
      <c r="D30" s="105">
        <f ca="1"/>
        <v>0</v>
      </c>
      <c r="E30" s="105">
        <f ca="1"/>
        <v>0</v>
      </c>
      <c r="F30" s="105">
        <f ca="1"/>
        <v>0</v>
      </c>
      <c r="G30" s="105">
        <f ca="1"/>
        <v>0</v>
      </c>
      <c r="I30"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Equipment</v>
      </c>
      <c r="J30" s="60">
        <f>SUMIFS(ARF[Amount in Euro], ARF[Co Director],budgetMilestone1[director], ARF[Category], budgetMilestone1[Category], ARF[Date], "&gt;" &amp; cleanDateKickoff,ARF[Date], "&lt;=" &amp; cleanDateMilestone1)</f>
        <v>0</v>
      </c>
      <c r="K30" s="85">
        <f ca="1">'Milestone 1'!$C30</f>
        <v>0</v>
      </c>
      <c r="L30" s="85">
        <f ca="1">'Milestone 1'!$D30</f>
        <v>0</v>
      </c>
      <c r="M30" s="85">
        <f ca="1">'Milestone 1'!$E30</f>
        <v>0</v>
      </c>
      <c r="N30" s="85">
        <f ca="1">'Milestone 1'!$F30</f>
        <v>0</v>
      </c>
      <c r="O30" s="60">
        <f ca="1">SUM(budgetMilestone1[[#This Row],[Milestone 1]:[Final]])</f>
        <v>0</v>
      </c>
      <c r="P30" s="60">
        <f>ROW()-ROW(budgetMilestone1[#Headers])</f>
        <v>13</v>
      </c>
      <c r="Q30" s="60">
        <f>IF(budgetMilestone1[row] &lt;= numCategories +3, budgetMilestone1[row]-1, MOD(budgetMilestone1[row]-1,numCategories+3) + IF(MOD(budgetMilestone1[row]-2,numCategories+2)&gt;numCategories+1, 1,0))</f>
        <v>1</v>
      </c>
      <c r="R30" s="60">
        <f>IFERROR(INDEX(directors[Last],MAX(1,FLOOR((budgetMilestone1[row]-1)/(numCategories+3)+1,1))),1)</f>
        <v>0</v>
      </c>
    </row>
    <row r="31" spans="1:18" ht="15" customHeight="1" x14ac:dyDescent="0.25">
      <c r="A31" s="105" t="str">
        <f ca="1"/>
        <v>Training</v>
      </c>
      <c r="B31" s="105">
        <f ca="1"/>
        <v>0</v>
      </c>
      <c r="C31" s="105">
        <f ca="1"/>
        <v>0</v>
      </c>
      <c r="D31" s="105">
        <f ca="1"/>
        <v>0</v>
      </c>
      <c r="E31" s="105">
        <f ca="1"/>
        <v>0</v>
      </c>
      <c r="F31" s="105">
        <f ca="1"/>
        <v>0</v>
      </c>
      <c r="G31" s="105">
        <f ca="1"/>
        <v>0</v>
      </c>
      <c r="I31"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Training</v>
      </c>
      <c r="J31" s="60">
        <f>SUMIFS(ARF[Amount in Euro], ARF[Co Director],budgetMilestone1[director], ARF[Category], budgetMilestone1[Category], ARF[Date], "&gt;" &amp; cleanDateKickoff,ARF[Date], "&lt;=" &amp; cleanDateMilestone1)</f>
        <v>0</v>
      </c>
      <c r="K31" s="85">
        <f ca="1">'Milestone 1'!$C31</f>
        <v>0</v>
      </c>
      <c r="L31" s="85">
        <f ca="1">'Milestone 1'!$D31</f>
        <v>0</v>
      </c>
      <c r="M31" s="85">
        <f ca="1">'Milestone 1'!$E31</f>
        <v>0</v>
      </c>
      <c r="N31" s="85">
        <f ca="1">'Milestone 1'!$F31</f>
        <v>0</v>
      </c>
      <c r="O31" s="60">
        <f ca="1">SUM(budgetMilestone1[[#This Row],[Milestone 1]:[Final]])</f>
        <v>0</v>
      </c>
      <c r="P31" s="60">
        <f>ROW()-ROW(budgetMilestone1[#Headers])</f>
        <v>14</v>
      </c>
      <c r="Q31" s="60">
        <f>IF(budgetMilestone1[row] &lt;= numCategories +3, budgetMilestone1[row]-1, MOD(budgetMilestone1[row]-1,numCategories+3) + IF(MOD(budgetMilestone1[row]-2,numCategories+2)&gt;numCategories+1, 1,0))</f>
        <v>2</v>
      </c>
      <c r="R31" s="60">
        <f>IFERROR(INDEX(directors[Last],MAX(1,FLOOR((budgetMilestone1[row]-1)/(numCategories+3)+1,1))),1)</f>
        <v>0</v>
      </c>
    </row>
    <row r="32" spans="1:18" ht="15" customHeight="1" x14ac:dyDescent="0.25">
      <c r="A32" s="105" t="str">
        <f ca="1"/>
        <v>Communication &amp; Publication</v>
      </c>
      <c r="B32" s="105">
        <f ca="1"/>
        <v>0</v>
      </c>
      <c r="C32" s="105">
        <f ca="1"/>
        <v>0</v>
      </c>
      <c r="D32" s="105">
        <f ca="1"/>
        <v>0</v>
      </c>
      <c r="E32" s="105">
        <f ca="1"/>
        <v>0</v>
      </c>
      <c r="F32" s="105">
        <f ca="1"/>
        <v>0</v>
      </c>
      <c r="G32" s="105">
        <f ca="1"/>
        <v>0</v>
      </c>
      <c r="I32"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Communication &amp; Publication</v>
      </c>
      <c r="J32" s="60">
        <f>SUMIFS(ARF[Amount in Euro], ARF[Co Director],budgetMilestone1[director], ARF[Category], budgetMilestone1[Category], ARF[Date], "&gt;" &amp; cleanDateKickoff,ARF[Date], "&lt;=" &amp; cleanDateMilestone1)</f>
        <v>0</v>
      </c>
      <c r="K32" s="85">
        <f ca="1">'Milestone 1'!$C32</f>
        <v>0</v>
      </c>
      <c r="L32" s="85">
        <f ca="1">'Milestone 1'!$D32</f>
        <v>0</v>
      </c>
      <c r="M32" s="85">
        <f ca="1">'Milestone 1'!$E32</f>
        <v>0</v>
      </c>
      <c r="N32" s="85">
        <f ca="1">'Milestone 1'!$F32</f>
        <v>0</v>
      </c>
      <c r="O32" s="60">
        <f ca="1">SUM(budgetMilestone1[[#This Row],[Milestone 1]:[Final]])</f>
        <v>0</v>
      </c>
      <c r="P32" s="60">
        <f>ROW()-ROW(budgetMilestone1[#Headers])</f>
        <v>15</v>
      </c>
      <c r="Q32" s="60">
        <f>IF(budgetMilestone1[row] &lt;= numCategories +3, budgetMilestone1[row]-1, MOD(budgetMilestone1[row]-1,numCategories+3) + IF(MOD(budgetMilestone1[row]-2,numCategories+2)&gt;numCategories+1, 1,0))</f>
        <v>3</v>
      </c>
      <c r="R32" s="60">
        <f>IFERROR(INDEX(directors[Last],MAX(1,FLOOR((budgetMilestone1[row]-1)/(numCategories+3)+1,1))),1)</f>
        <v>0</v>
      </c>
    </row>
    <row r="33" spans="1:18" ht="15" customHeight="1" x14ac:dyDescent="0.25">
      <c r="A33" s="105" t="str">
        <f ca="1"/>
        <v>Travel</v>
      </c>
      <c r="B33" s="105">
        <f ca="1"/>
        <v>0</v>
      </c>
      <c r="C33" s="105">
        <f ca="1"/>
        <v>0</v>
      </c>
      <c r="D33" s="105">
        <f ca="1"/>
        <v>0</v>
      </c>
      <c r="E33" s="105">
        <f ca="1"/>
        <v>0</v>
      </c>
      <c r="F33" s="105">
        <f ca="1"/>
        <v>0</v>
      </c>
      <c r="G33" s="105">
        <f ca="1"/>
        <v>0</v>
      </c>
      <c r="I33"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Travel</v>
      </c>
      <c r="J33" s="60">
        <f>SUMIFS(ARF[Amount in Euro], ARF[Co Director],budgetMilestone1[director], ARF[Category], budgetMilestone1[Category], ARF[Date], "&gt;" &amp; cleanDateKickoff,ARF[Date], "&lt;=" &amp; cleanDateMilestone1)</f>
        <v>0</v>
      </c>
      <c r="K33" s="85">
        <f ca="1">'Milestone 1'!$C33</f>
        <v>0</v>
      </c>
      <c r="L33" s="85">
        <f ca="1">'Milestone 1'!$D33</f>
        <v>0</v>
      </c>
      <c r="M33" s="85">
        <f ca="1">'Milestone 1'!$E33</f>
        <v>0</v>
      </c>
      <c r="N33" s="85">
        <f ca="1">'Milestone 1'!$F33</f>
        <v>0</v>
      </c>
      <c r="O33" s="60">
        <f ca="1">SUM(budgetMilestone1[[#This Row],[Milestone 1]:[Final]])</f>
        <v>0</v>
      </c>
      <c r="P33" s="60">
        <f>ROW()-ROW(budgetMilestone1[#Headers])</f>
        <v>16</v>
      </c>
      <c r="Q33" s="60">
        <f>IF(budgetMilestone1[row] &lt;= numCategories +3, budgetMilestone1[row]-1, MOD(budgetMilestone1[row]-1,numCategories+3) + IF(MOD(budgetMilestone1[row]-2,numCategories+2)&gt;numCategories+1, 1,0))</f>
        <v>4</v>
      </c>
      <c r="R33" s="60">
        <f>IFERROR(INDEX(directors[Last],MAX(1,FLOOR((budgetMilestone1[row]-1)/(numCategories+3)+1,1))),1)</f>
        <v>0</v>
      </c>
    </row>
    <row r="34" spans="1:18" ht="15" customHeight="1" x14ac:dyDescent="0.25">
      <c r="A34" s="105" t="str">
        <f ca="1"/>
        <v>Consumables</v>
      </c>
      <c r="B34" s="105">
        <f ca="1"/>
        <v>0</v>
      </c>
      <c r="C34" s="105">
        <f ca="1"/>
        <v>0</v>
      </c>
      <c r="D34" s="105">
        <f ca="1"/>
        <v>0</v>
      </c>
      <c r="E34" s="105">
        <f ca="1"/>
        <v>0</v>
      </c>
      <c r="F34" s="105">
        <f ca="1"/>
        <v>0</v>
      </c>
      <c r="G34" s="105">
        <f ca="1"/>
        <v>0</v>
      </c>
      <c r="I34"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Consumables</v>
      </c>
      <c r="J34" s="60">
        <f>SUMIFS(ARF[Amount in Euro], ARF[Co Director],budgetMilestone1[director], ARF[Category], budgetMilestone1[Category], ARF[Date], "&gt;" &amp; cleanDateKickoff,ARF[Date], "&lt;=" &amp; cleanDateMilestone1)</f>
        <v>0</v>
      </c>
      <c r="K34" s="85">
        <f ca="1">'Milestone 1'!$C34</f>
        <v>0</v>
      </c>
      <c r="L34" s="85">
        <f ca="1">'Milestone 1'!$D34</f>
        <v>0</v>
      </c>
      <c r="M34" s="85">
        <f ca="1">'Milestone 1'!$E34</f>
        <v>0</v>
      </c>
      <c r="N34" s="85">
        <f ca="1">'Milestone 1'!$F34</f>
        <v>0</v>
      </c>
      <c r="O34" s="60">
        <f ca="1">SUM(budgetMilestone1[[#This Row],[Milestone 1]:[Final]])</f>
        <v>0</v>
      </c>
      <c r="P34" s="60">
        <f>ROW()-ROW(budgetMilestone1[#Headers])</f>
        <v>17</v>
      </c>
      <c r="Q34" s="60">
        <f>IF(budgetMilestone1[row] &lt;= numCategories +3, budgetMilestone1[row]-1, MOD(budgetMilestone1[row]-1,numCategories+3) + IF(MOD(budgetMilestone1[row]-2,numCategories+2)&gt;numCategories+1, 1,0))</f>
        <v>5</v>
      </c>
      <c r="R34" s="60">
        <f>IFERROR(INDEX(directors[Last],MAX(1,FLOOR((budgetMilestone1[row]-1)/(numCategories+3)+1,1))),1)</f>
        <v>0</v>
      </c>
    </row>
    <row r="35" spans="1:18" ht="15" customHeight="1" x14ac:dyDescent="0.25">
      <c r="A35" s="105" t="str">
        <f ca="1"/>
        <v>Other</v>
      </c>
      <c r="B35" s="105">
        <f ca="1"/>
        <v>0</v>
      </c>
      <c r="C35" s="105">
        <f ca="1"/>
        <v>0</v>
      </c>
      <c r="D35" s="105">
        <f ca="1"/>
        <v>0</v>
      </c>
      <c r="E35" s="105">
        <f ca="1"/>
        <v>0</v>
      </c>
      <c r="F35" s="105">
        <f ca="1"/>
        <v>0</v>
      </c>
      <c r="G35" s="105">
        <f ca="1"/>
        <v>0</v>
      </c>
      <c r="I35"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Other</v>
      </c>
      <c r="J35" s="60">
        <f>SUMIFS(ARF[Amount in Euro], ARF[Co Director],budgetMilestone1[director], ARF[Category], budgetMilestone1[Category], ARF[Date], "&gt;" &amp; cleanDateKickoff,ARF[Date], "&lt;=" &amp; cleanDateMilestone1)</f>
        <v>0</v>
      </c>
      <c r="K35" s="85">
        <f ca="1">'Milestone 1'!$C35</f>
        <v>0</v>
      </c>
      <c r="L35" s="85">
        <f ca="1">'Milestone 1'!$D35</f>
        <v>0</v>
      </c>
      <c r="M35" s="85">
        <f ca="1">'Milestone 1'!$E35</f>
        <v>0</v>
      </c>
      <c r="N35" s="85">
        <f ca="1">'Milestone 1'!$F35</f>
        <v>0</v>
      </c>
      <c r="O35" s="60">
        <f ca="1">SUM(budgetMilestone1[[#This Row],[Milestone 1]:[Final]])</f>
        <v>0</v>
      </c>
      <c r="P35" s="60">
        <f>ROW()-ROW(budgetMilestone1[#Headers])</f>
        <v>18</v>
      </c>
      <c r="Q35" s="60">
        <f>IF(budgetMilestone1[row] &lt;= numCategories +3, budgetMilestone1[row]-1, MOD(budgetMilestone1[row]-1,numCategories+3) + IF(MOD(budgetMilestone1[row]-2,numCategories+2)&gt;numCategories+1, 1,0))</f>
        <v>6</v>
      </c>
      <c r="R35" s="60">
        <f>IFERROR(INDEX(directors[Last],MAX(1,FLOOR((budgetMilestone1[row]-1)/(numCategories+3)+1,1))),1)</f>
        <v>0</v>
      </c>
    </row>
    <row r="36" spans="1:18" ht="15" customHeight="1" x14ac:dyDescent="0.25">
      <c r="A36" s="105" t="str">
        <f ca="1"/>
        <v>Stipends</v>
      </c>
      <c r="B36" s="105">
        <f ca="1"/>
        <v>0</v>
      </c>
      <c r="C36" s="105">
        <f ca="1"/>
        <v>0</v>
      </c>
      <c r="D36" s="105">
        <f ca="1"/>
        <v>0</v>
      </c>
      <c r="E36" s="105">
        <f ca="1"/>
        <v>0</v>
      </c>
      <c r="F36" s="105">
        <f ca="1"/>
        <v>0</v>
      </c>
      <c r="G36" s="105">
        <f ca="1"/>
        <v>0</v>
      </c>
      <c r="I36"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Stipends</v>
      </c>
      <c r="J36" s="60">
        <f>SUMIFS(ARF[Amount in Euro], ARF[Co Director],budgetMilestone1[director], ARF[Category], budgetMilestone1[Category], ARF[Date], "&gt;" &amp; cleanDateKickoff,ARF[Date], "&lt;=" &amp; cleanDateMilestone1)</f>
        <v>0</v>
      </c>
      <c r="K36" s="85">
        <f ca="1">'Milestone 1'!$C36</f>
        <v>0</v>
      </c>
      <c r="L36" s="85">
        <f ca="1">'Milestone 1'!$D36</f>
        <v>0</v>
      </c>
      <c r="M36" s="85">
        <f ca="1">'Milestone 1'!$E36</f>
        <v>0</v>
      </c>
      <c r="N36" s="85">
        <f ca="1">'Milestone 1'!$F36</f>
        <v>0</v>
      </c>
      <c r="O36" s="60">
        <f ca="1">SUM(budgetMilestone1[[#This Row],[Milestone 1]:[Final]])</f>
        <v>0</v>
      </c>
      <c r="P36" s="60">
        <f>ROW()-ROW(budgetMilestone1[#Headers])</f>
        <v>19</v>
      </c>
      <c r="Q36" s="60">
        <f>IF(budgetMilestone1[row] &lt;= numCategories +3, budgetMilestone1[row]-1, MOD(budgetMilestone1[row]-1,numCategories+3) + IF(MOD(budgetMilestone1[row]-2,numCategories+2)&gt;numCategories+1, 1,0))</f>
        <v>7</v>
      </c>
      <c r="R36" s="60">
        <f>IFERROR(INDEX(directors[Last],MAX(1,FLOOR((budgetMilestone1[row]-1)/(numCategories+3)+1,1))),1)</f>
        <v>0</v>
      </c>
    </row>
    <row r="37" spans="1:18" ht="15" customHeight="1" x14ac:dyDescent="0.25">
      <c r="A37" s="105" t="str">
        <f ca="1"/>
        <v>Co-financing of personnel</v>
      </c>
      <c r="B37" s="105">
        <f ca="1"/>
        <v>0</v>
      </c>
      <c r="C37" s="105">
        <f ca="1"/>
        <v>0</v>
      </c>
      <c r="D37" s="105">
        <f ca="1"/>
        <v>0</v>
      </c>
      <c r="E37" s="105">
        <f ca="1"/>
        <v>0</v>
      </c>
      <c r="F37" s="105">
        <f ca="1"/>
        <v>0</v>
      </c>
      <c r="G37" s="105">
        <f ca="1"/>
        <v>0</v>
      </c>
      <c r="I37"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Co-financing of personnel</v>
      </c>
      <c r="J37" s="60">
        <f>SUMIFS(ARF[Amount in Euro], ARF[Co Director],budgetMilestone1[director], ARF[Category], budgetMilestone1[Category], ARF[Date], "&gt;" &amp; cleanDateKickoff,ARF[Date], "&lt;=" &amp; cleanDateMilestone1)</f>
        <v>0</v>
      </c>
      <c r="K37" s="85">
        <f ca="1">'Milestone 1'!$C37</f>
        <v>0</v>
      </c>
      <c r="L37" s="85">
        <f ca="1">'Milestone 1'!$D37</f>
        <v>0</v>
      </c>
      <c r="M37" s="85">
        <f ca="1">'Milestone 1'!$E37</f>
        <v>0</v>
      </c>
      <c r="N37" s="85">
        <f ca="1">'Milestone 1'!$F37</f>
        <v>0</v>
      </c>
      <c r="O37" s="60">
        <f ca="1">SUM(budgetMilestone1[[#This Row],[Milestone 1]:[Final]])</f>
        <v>0</v>
      </c>
      <c r="P37" s="60">
        <f>ROW()-ROW(budgetMilestone1[#Headers])</f>
        <v>20</v>
      </c>
      <c r="Q37" s="60">
        <f>IF(budgetMilestone1[row] &lt;= numCategories +3, budgetMilestone1[row]-1, MOD(budgetMilestone1[row]-1,numCategories+3) + IF(MOD(budgetMilestone1[row]-2,numCategories+2)&gt;numCategories+1, 1,0))</f>
        <v>8</v>
      </c>
      <c r="R37" s="60">
        <f>IFERROR(INDEX(directors[Last],MAX(1,FLOOR((budgetMilestone1[row]-1)/(numCategories+3)+1,1))),1)</f>
        <v>0</v>
      </c>
    </row>
    <row r="38" spans="1:18" ht="15" customHeight="1" x14ac:dyDescent="0.25">
      <c r="A38" s="105" t="str">
        <f ca="1"/>
        <v>Subtotal 0</v>
      </c>
      <c r="B38" s="105">
        <f ca="1"/>
        <v>0</v>
      </c>
      <c r="C38" s="105">
        <f ca="1"/>
        <v>0</v>
      </c>
      <c r="D38" s="105">
        <f ca="1"/>
        <v>0</v>
      </c>
      <c r="E38" s="105">
        <f ca="1"/>
        <v>0</v>
      </c>
      <c r="F38" s="105">
        <f ca="1"/>
        <v>0</v>
      </c>
      <c r="G38" s="105">
        <f ca="1"/>
        <v>0</v>
      </c>
      <c r="I38"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Subtotal 0</v>
      </c>
      <c r="J38" s="60">
        <f>SUBTOTAL(9,J30:J37)</f>
        <v>0</v>
      </c>
      <c r="K38" s="60">
        <f t="shared" ref="K38:O38" ca="1" si="1">SUBTOTAL(9,K30:K37)</f>
        <v>0</v>
      </c>
      <c r="L38" s="60">
        <f t="shared" ca="1" si="1"/>
        <v>0</v>
      </c>
      <c r="M38" s="60">
        <f t="shared" ca="1" si="1"/>
        <v>0</v>
      </c>
      <c r="N38" s="60">
        <f t="shared" ca="1" si="1"/>
        <v>0</v>
      </c>
      <c r="O38" s="60">
        <f t="shared" ca="1" si="1"/>
        <v>0</v>
      </c>
      <c r="P38" s="60">
        <f>ROW()-ROW(budgetMilestone1[#Headers])</f>
        <v>21</v>
      </c>
      <c r="Q38" s="60">
        <f>IF(budgetMilestone1[row] &lt;= numCategories +3, budgetMilestone1[row]-1, MOD(budgetMilestone1[row]-1,numCategories+3) + IF(MOD(budgetMilestone1[row]-2,numCategories+2)&gt;numCategories+1, 1,0))</f>
        <v>9</v>
      </c>
      <c r="R38" s="60">
        <f>IFERROR(INDEX(directors[Last],MAX(1,FLOOR((budgetMilestone1[row]-1)/(numCategories+3)+1,1))),1)</f>
        <v>0</v>
      </c>
    </row>
    <row r="39" spans="1:18" ht="15" customHeight="1" x14ac:dyDescent="0.25">
      <c r="A39" s="105" t="str">
        <f ca="1"/>
        <v/>
      </c>
      <c r="B39" s="105">
        <f ca="1"/>
        <v>0</v>
      </c>
      <c r="C39" s="105">
        <f ca="1"/>
        <v>0</v>
      </c>
      <c r="D39" s="105">
        <f ca="1"/>
        <v>0</v>
      </c>
      <c r="E39" s="105">
        <f ca="1"/>
        <v>0</v>
      </c>
      <c r="F39" s="105">
        <f ca="1"/>
        <v>0</v>
      </c>
      <c r="G39" s="105">
        <f ca="1"/>
        <v>0</v>
      </c>
      <c r="I39"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c>
      <c r="O39" s="60">
        <f>SUM(budgetMilestone1[[#This Row],[Milestone 1]:[Final]])</f>
        <v>0</v>
      </c>
      <c r="P39" s="60">
        <f>ROW()-ROW(budgetMilestone1[#Headers])</f>
        <v>22</v>
      </c>
      <c r="Q39" s="60">
        <f>IF(budgetMilestone1[row] &lt;= numCategories +3, budgetMilestone1[row]-1, MOD(budgetMilestone1[row]-1,numCategories+3) + IF(MOD(budgetMilestone1[row]-2,numCategories+2)&gt;numCategories+1, 1,0))</f>
        <v>10</v>
      </c>
      <c r="R39" s="60">
        <f>IFERROR(INDEX(directors[Last],MAX(1,FLOOR((budgetMilestone1[row]-1)/(numCategories+3)+1,1))),1)</f>
        <v>0</v>
      </c>
    </row>
    <row r="40" spans="1:18" ht="15" customHeight="1" x14ac:dyDescent="0.25">
      <c r="A40" s="105" t="str">
        <f ca="1"/>
        <v xml:space="preserve">0 / </v>
      </c>
      <c r="B40" s="105">
        <f ca="1"/>
        <v>0</v>
      </c>
      <c r="C40" s="105">
        <f ca="1"/>
        <v>0</v>
      </c>
      <c r="D40" s="105">
        <f ca="1"/>
        <v>0</v>
      </c>
      <c r="E40" s="105">
        <f ca="1"/>
        <v>0</v>
      </c>
      <c r="F40" s="105">
        <f ca="1"/>
        <v>0</v>
      </c>
      <c r="G40" s="105">
        <f ca="1"/>
        <v>0</v>
      </c>
      <c r="I40"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xml:space="preserve">0 / </v>
      </c>
      <c r="K40" s="85"/>
      <c r="L40" s="85"/>
      <c r="M40" s="85"/>
      <c r="N40" s="85"/>
      <c r="P40" s="60">
        <f>ROW()-ROW(budgetMilestone1[#Headers])</f>
        <v>23</v>
      </c>
      <c r="Q40" s="60">
        <f>IF(budgetMilestone1[row] &lt;= numCategories +3, budgetMilestone1[row]-1, MOD(budgetMilestone1[row]-1,numCategories+3) + IF(MOD(budgetMilestone1[row]-2,numCategories+2)&gt;numCategories+1, 1,0))</f>
        <v>0</v>
      </c>
      <c r="R40" s="60">
        <f>IFERROR(INDEX(directors[Last],MAX(1,FLOOR((budgetMilestone1[row]-1)/(numCategories+3)+1,1))),1)</f>
        <v>0</v>
      </c>
    </row>
    <row r="41" spans="1:18" ht="15" customHeight="1" x14ac:dyDescent="0.25">
      <c r="A41" s="105" t="str">
        <f ca="1"/>
        <v>Equipment</v>
      </c>
      <c r="B41" s="105">
        <f ca="1"/>
        <v>0</v>
      </c>
      <c r="C41" s="105">
        <f ca="1"/>
        <v>0</v>
      </c>
      <c r="D41" s="105">
        <f ca="1"/>
        <v>0</v>
      </c>
      <c r="E41" s="105">
        <f ca="1"/>
        <v>0</v>
      </c>
      <c r="F41" s="105">
        <f ca="1"/>
        <v>0</v>
      </c>
      <c r="G41" s="105">
        <f ca="1"/>
        <v>0</v>
      </c>
      <c r="I41"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Equipment</v>
      </c>
      <c r="J41" s="60">
        <f>SUMIFS(ARF[Amount in Euro], ARF[Co Director],budgetMilestone1[director], ARF[Category], budgetMilestone1[Category], ARF[Date], "&gt;" &amp; cleanDateKickoff,ARF[Date], "&lt;=" &amp; cleanDateMilestone1)</f>
        <v>0</v>
      </c>
      <c r="K41" s="85">
        <f ca="1">'Milestone 1'!$C41</f>
        <v>0</v>
      </c>
      <c r="L41" s="85">
        <f ca="1">'Milestone 1'!$D41</f>
        <v>0</v>
      </c>
      <c r="M41" s="85">
        <f ca="1">'Milestone 1'!$E41</f>
        <v>0</v>
      </c>
      <c r="N41" s="85">
        <f ca="1">'Milestone 1'!$F41</f>
        <v>0</v>
      </c>
      <c r="O41" s="60">
        <f ca="1">SUM(budgetMilestone1[[#This Row],[Milestone 1]:[Final]])</f>
        <v>0</v>
      </c>
      <c r="P41" s="60">
        <f>ROW()-ROW(budgetMilestone1[#Headers])</f>
        <v>24</v>
      </c>
      <c r="Q41" s="60">
        <f>IF(budgetMilestone1[row] &lt;= numCategories +3, budgetMilestone1[row]-1, MOD(budgetMilestone1[row]-1,numCategories+3) + IF(MOD(budgetMilestone1[row]-2,numCategories+2)&gt;numCategories+1, 1,0))</f>
        <v>1</v>
      </c>
      <c r="R41" s="60">
        <f>IFERROR(INDEX(directors[Last],MAX(1,FLOOR((budgetMilestone1[row]-1)/(numCategories+3)+1,1))),1)</f>
        <v>0</v>
      </c>
    </row>
    <row r="42" spans="1:18" ht="15" customHeight="1" x14ac:dyDescent="0.25">
      <c r="A42" s="105" t="str">
        <f ca="1"/>
        <v>Training</v>
      </c>
      <c r="B42" s="105">
        <f ca="1"/>
        <v>0</v>
      </c>
      <c r="C42" s="105">
        <f ca="1"/>
        <v>0</v>
      </c>
      <c r="D42" s="105">
        <f ca="1"/>
        <v>0</v>
      </c>
      <c r="E42" s="105">
        <f ca="1"/>
        <v>0</v>
      </c>
      <c r="F42" s="105">
        <f ca="1"/>
        <v>0</v>
      </c>
      <c r="G42" s="105">
        <f ca="1"/>
        <v>0</v>
      </c>
      <c r="I42"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Training</v>
      </c>
      <c r="J42" s="60">
        <f>SUMIFS(ARF[Amount in Euro], ARF[Co Director],budgetMilestone1[director], ARF[Category], budgetMilestone1[Category], ARF[Date], "&gt;" &amp; cleanDateKickoff,ARF[Date], "&lt;=" &amp; cleanDateMilestone1)</f>
        <v>0</v>
      </c>
      <c r="K42" s="85">
        <f ca="1">'Milestone 1'!$C42</f>
        <v>0</v>
      </c>
      <c r="L42" s="85">
        <f ca="1">'Milestone 1'!$D42</f>
        <v>0</v>
      </c>
      <c r="M42" s="85">
        <f ca="1">'Milestone 1'!$E42</f>
        <v>0</v>
      </c>
      <c r="N42" s="85">
        <f ca="1">'Milestone 1'!$F42</f>
        <v>0</v>
      </c>
      <c r="O42" s="60">
        <f ca="1">SUM(budgetMilestone1[[#This Row],[Milestone 1]:[Final]])</f>
        <v>0</v>
      </c>
      <c r="P42" s="60">
        <f>ROW()-ROW(budgetMilestone1[#Headers])</f>
        <v>25</v>
      </c>
      <c r="Q42" s="60">
        <f>IF(budgetMilestone1[row] &lt;= numCategories +3, budgetMilestone1[row]-1, MOD(budgetMilestone1[row]-1,numCategories+3) + IF(MOD(budgetMilestone1[row]-2,numCategories+2)&gt;numCategories+1, 1,0))</f>
        <v>2</v>
      </c>
      <c r="R42" s="60">
        <f>IFERROR(INDEX(directors[Last],MAX(1,FLOOR((budgetMilestone1[row]-1)/(numCategories+3)+1,1))),1)</f>
        <v>0</v>
      </c>
    </row>
    <row r="43" spans="1:18" ht="15" customHeight="1" x14ac:dyDescent="0.25">
      <c r="A43" s="105" t="str">
        <f ca="1"/>
        <v>Communication &amp; Publication</v>
      </c>
      <c r="B43" s="105">
        <f ca="1"/>
        <v>0</v>
      </c>
      <c r="C43" s="105">
        <f ca="1"/>
        <v>0</v>
      </c>
      <c r="D43" s="105">
        <f ca="1"/>
        <v>0</v>
      </c>
      <c r="E43" s="105">
        <f ca="1"/>
        <v>0</v>
      </c>
      <c r="F43" s="105">
        <f ca="1"/>
        <v>0</v>
      </c>
      <c r="G43" s="105">
        <f ca="1"/>
        <v>0</v>
      </c>
      <c r="I43"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Communication &amp; Publication</v>
      </c>
      <c r="J43" s="60">
        <f>SUMIFS(ARF[Amount in Euro], ARF[Co Director],budgetMilestone1[director], ARF[Category], budgetMilestone1[Category], ARF[Date], "&gt;" &amp; cleanDateKickoff,ARF[Date], "&lt;=" &amp; cleanDateMilestone1)</f>
        <v>0</v>
      </c>
      <c r="K43" s="85">
        <f ca="1">'Milestone 1'!$C43</f>
        <v>0</v>
      </c>
      <c r="L43" s="85">
        <f ca="1">'Milestone 1'!$D43</f>
        <v>0</v>
      </c>
      <c r="M43" s="85">
        <f ca="1">'Milestone 1'!$E43</f>
        <v>0</v>
      </c>
      <c r="N43" s="85">
        <f ca="1">'Milestone 1'!$F43</f>
        <v>0</v>
      </c>
      <c r="O43" s="60">
        <f ca="1">SUM(budgetMilestone1[[#This Row],[Milestone 1]:[Final]])</f>
        <v>0</v>
      </c>
      <c r="P43" s="60">
        <f>ROW()-ROW(budgetMilestone1[#Headers])</f>
        <v>26</v>
      </c>
      <c r="Q43" s="60">
        <f>IF(budgetMilestone1[row] &lt;= numCategories +3, budgetMilestone1[row]-1, MOD(budgetMilestone1[row]-1,numCategories+3) + IF(MOD(budgetMilestone1[row]-2,numCategories+2)&gt;numCategories+1, 1,0))</f>
        <v>3</v>
      </c>
      <c r="R43" s="60">
        <f>IFERROR(INDEX(directors[Last],MAX(1,FLOOR((budgetMilestone1[row]-1)/(numCategories+3)+1,1))),1)</f>
        <v>0</v>
      </c>
    </row>
    <row r="44" spans="1:18" ht="15" customHeight="1" x14ac:dyDescent="0.25">
      <c r="A44" s="105" t="str">
        <f ca="1"/>
        <v>Travel</v>
      </c>
      <c r="B44" s="105">
        <f ca="1"/>
        <v>0</v>
      </c>
      <c r="C44" s="105">
        <f ca="1"/>
        <v>0</v>
      </c>
      <c r="D44" s="105">
        <f ca="1"/>
        <v>0</v>
      </c>
      <c r="E44" s="105">
        <f ca="1"/>
        <v>0</v>
      </c>
      <c r="F44" s="105">
        <f ca="1"/>
        <v>0</v>
      </c>
      <c r="G44" s="105">
        <f ca="1"/>
        <v>0</v>
      </c>
      <c r="I44"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Travel</v>
      </c>
      <c r="J44" s="60">
        <f>SUMIFS(ARF[Amount in Euro], ARF[Co Director],budgetMilestone1[director], ARF[Category], budgetMilestone1[Category], ARF[Date], "&gt;" &amp; cleanDateKickoff,ARF[Date], "&lt;=" &amp; cleanDateMilestone1)</f>
        <v>0</v>
      </c>
      <c r="K44" s="85">
        <f ca="1">'Milestone 1'!$C44</f>
        <v>0</v>
      </c>
      <c r="L44" s="85">
        <f ca="1">'Milestone 1'!$D44</f>
        <v>0</v>
      </c>
      <c r="M44" s="85">
        <f ca="1">'Milestone 1'!$E44</f>
        <v>0</v>
      </c>
      <c r="N44" s="85">
        <f ca="1">'Milestone 1'!$F44</f>
        <v>0</v>
      </c>
      <c r="O44" s="60">
        <f ca="1">SUM(budgetMilestone1[[#This Row],[Milestone 1]:[Final]])</f>
        <v>0</v>
      </c>
      <c r="P44" s="60">
        <f>ROW()-ROW(budgetMilestone1[#Headers])</f>
        <v>27</v>
      </c>
      <c r="Q44" s="60">
        <f>IF(budgetMilestone1[row] &lt;= numCategories +3, budgetMilestone1[row]-1, MOD(budgetMilestone1[row]-1,numCategories+3) + IF(MOD(budgetMilestone1[row]-2,numCategories+2)&gt;numCategories+1, 1,0))</f>
        <v>4</v>
      </c>
      <c r="R44" s="60">
        <f>IFERROR(INDEX(directors[Last],MAX(1,FLOOR((budgetMilestone1[row]-1)/(numCategories+3)+1,1))),1)</f>
        <v>0</v>
      </c>
    </row>
    <row r="45" spans="1:18" ht="15" customHeight="1" x14ac:dyDescent="0.25">
      <c r="A45" s="105" t="str">
        <f ca="1"/>
        <v>Consumables</v>
      </c>
      <c r="B45" s="105">
        <f ca="1"/>
        <v>0</v>
      </c>
      <c r="C45" s="105">
        <f ca="1"/>
        <v>0</v>
      </c>
      <c r="D45" s="105">
        <f ca="1"/>
        <v>0</v>
      </c>
      <c r="E45" s="105">
        <f ca="1"/>
        <v>0</v>
      </c>
      <c r="F45" s="105">
        <f ca="1"/>
        <v>0</v>
      </c>
      <c r="G45" s="105">
        <f ca="1"/>
        <v>0</v>
      </c>
      <c r="I45"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Consumables</v>
      </c>
      <c r="J45" s="60">
        <f>SUMIFS(ARF[Amount in Euro], ARF[Co Director],budgetMilestone1[director], ARF[Category], budgetMilestone1[Category], ARF[Date], "&gt;" &amp; cleanDateKickoff,ARF[Date], "&lt;=" &amp; cleanDateMilestone1)</f>
        <v>0</v>
      </c>
      <c r="K45" s="85">
        <f ca="1">'Milestone 1'!$C45</f>
        <v>0</v>
      </c>
      <c r="L45" s="85">
        <f ca="1">'Milestone 1'!$D45</f>
        <v>0</v>
      </c>
      <c r="M45" s="85">
        <f ca="1">'Milestone 1'!$E45</f>
        <v>0</v>
      </c>
      <c r="N45" s="85">
        <f ca="1">'Milestone 1'!$F45</f>
        <v>0</v>
      </c>
      <c r="O45" s="60">
        <f ca="1">SUM(budgetMilestone1[[#This Row],[Milestone 1]:[Final]])</f>
        <v>0</v>
      </c>
      <c r="P45" s="60">
        <f>ROW()-ROW(budgetMilestone1[#Headers])</f>
        <v>28</v>
      </c>
      <c r="Q45" s="60">
        <f>IF(budgetMilestone1[row] &lt;= numCategories +3, budgetMilestone1[row]-1, MOD(budgetMilestone1[row]-1,numCategories+3) + IF(MOD(budgetMilestone1[row]-2,numCategories+2)&gt;numCategories+1, 1,0))</f>
        <v>5</v>
      </c>
      <c r="R45" s="60">
        <f>IFERROR(INDEX(directors[Last],MAX(1,FLOOR((budgetMilestone1[row]-1)/(numCategories+3)+1,1))),1)</f>
        <v>0</v>
      </c>
    </row>
    <row r="46" spans="1:18" ht="15" customHeight="1" x14ac:dyDescent="0.25">
      <c r="A46" s="105" t="str">
        <f ca="1"/>
        <v>Other</v>
      </c>
      <c r="B46" s="105">
        <f ca="1"/>
        <v>0</v>
      </c>
      <c r="C46" s="105">
        <f ca="1"/>
        <v>0</v>
      </c>
      <c r="D46" s="105">
        <f ca="1"/>
        <v>0</v>
      </c>
      <c r="E46" s="105">
        <f ca="1"/>
        <v>0</v>
      </c>
      <c r="F46" s="105">
        <f ca="1"/>
        <v>0</v>
      </c>
      <c r="G46" s="105">
        <f ca="1"/>
        <v>0</v>
      </c>
      <c r="I46"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Other</v>
      </c>
      <c r="J46" s="60">
        <f>SUMIFS(ARF[Amount in Euro], ARF[Co Director],budgetMilestone1[director], ARF[Category], budgetMilestone1[Category], ARF[Date], "&gt;" &amp; cleanDateKickoff,ARF[Date], "&lt;=" &amp; cleanDateMilestone1)</f>
        <v>0</v>
      </c>
      <c r="K46" s="85">
        <f ca="1">'Milestone 1'!$C46</f>
        <v>0</v>
      </c>
      <c r="L46" s="85">
        <f ca="1">'Milestone 1'!$D46</f>
        <v>0</v>
      </c>
      <c r="M46" s="85">
        <f ca="1">'Milestone 1'!$E46</f>
        <v>0</v>
      </c>
      <c r="N46" s="85">
        <f ca="1">'Milestone 1'!$F46</f>
        <v>0</v>
      </c>
      <c r="O46" s="60">
        <f ca="1">SUM(budgetMilestone1[[#This Row],[Milestone 1]:[Final]])</f>
        <v>0</v>
      </c>
      <c r="P46" s="60">
        <f>ROW()-ROW(budgetMilestone1[#Headers])</f>
        <v>29</v>
      </c>
      <c r="Q46" s="60">
        <f>IF(budgetMilestone1[row] &lt;= numCategories +3, budgetMilestone1[row]-1, MOD(budgetMilestone1[row]-1,numCategories+3) + IF(MOD(budgetMilestone1[row]-2,numCategories+2)&gt;numCategories+1, 1,0))</f>
        <v>6</v>
      </c>
      <c r="R46" s="60">
        <f>IFERROR(INDEX(directors[Last],MAX(1,FLOOR((budgetMilestone1[row]-1)/(numCategories+3)+1,1))),1)</f>
        <v>0</v>
      </c>
    </row>
    <row r="47" spans="1:18" ht="15" customHeight="1" x14ac:dyDescent="0.25">
      <c r="A47" s="105" t="str">
        <f ca="1"/>
        <v>Stipends</v>
      </c>
      <c r="B47" s="105">
        <f ca="1"/>
        <v>0</v>
      </c>
      <c r="C47" s="105">
        <f ca="1"/>
        <v>0</v>
      </c>
      <c r="D47" s="105">
        <f ca="1"/>
        <v>0</v>
      </c>
      <c r="E47" s="105">
        <f ca="1"/>
        <v>0</v>
      </c>
      <c r="F47" s="105">
        <f ca="1"/>
        <v>0</v>
      </c>
      <c r="G47" s="105">
        <f ca="1"/>
        <v>0</v>
      </c>
      <c r="I47"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Stipends</v>
      </c>
      <c r="J47" s="60">
        <f>SUMIFS(ARF[Amount in Euro], ARF[Co Director],budgetMilestone1[director], ARF[Category], budgetMilestone1[Category], ARF[Date], "&gt;" &amp; cleanDateKickoff,ARF[Date], "&lt;=" &amp; cleanDateMilestone1)</f>
        <v>0</v>
      </c>
      <c r="K47" s="85">
        <f ca="1">'Milestone 1'!$C47</f>
        <v>0</v>
      </c>
      <c r="L47" s="85">
        <f ca="1">'Milestone 1'!$D47</f>
        <v>0</v>
      </c>
      <c r="M47" s="85">
        <f ca="1">'Milestone 1'!$E47</f>
        <v>0</v>
      </c>
      <c r="N47" s="85">
        <f ca="1">'Milestone 1'!$F47</f>
        <v>0</v>
      </c>
      <c r="O47" s="60">
        <f ca="1">SUM(budgetMilestone1[[#This Row],[Milestone 1]:[Final]])</f>
        <v>0</v>
      </c>
      <c r="P47" s="60">
        <f>ROW()-ROW(budgetMilestone1[#Headers])</f>
        <v>30</v>
      </c>
      <c r="Q47" s="60">
        <f>IF(budgetMilestone1[row] &lt;= numCategories +3, budgetMilestone1[row]-1, MOD(budgetMilestone1[row]-1,numCategories+3) + IF(MOD(budgetMilestone1[row]-2,numCategories+2)&gt;numCategories+1, 1,0))</f>
        <v>7</v>
      </c>
      <c r="R47" s="60">
        <f>IFERROR(INDEX(directors[Last],MAX(1,FLOOR((budgetMilestone1[row]-1)/(numCategories+3)+1,1))),1)</f>
        <v>0</v>
      </c>
    </row>
    <row r="48" spans="1:18" ht="15" customHeight="1" x14ac:dyDescent="0.25">
      <c r="A48" s="105" t="str">
        <f ca="1"/>
        <v>Co-financing of personnel</v>
      </c>
      <c r="B48" s="105">
        <f ca="1"/>
        <v>0</v>
      </c>
      <c r="C48" s="105">
        <f ca="1"/>
        <v>0</v>
      </c>
      <c r="D48" s="105">
        <f ca="1"/>
        <v>0</v>
      </c>
      <c r="E48" s="105">
        <f ca="1"/>
        <v>0</v>
      </c>
      <c r="F48" s="105">
        <f ca="1"/>
        <v>0</v>
      </c>
      <c r="G48" s="105">
        <f ca="1"/>
        <v>0</v>
      </c>
      <c r="I48"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Co-financing of personnel</v>
      </c>
      <c r="J48" s="60">
        <f>SUMIFS(ARF[Amount in Euro], ARF[Co Director],budgetMilestone1[director], ARF[Category], budgetMilestone1[Category], ARF[Date], "&gt;" &amp; cleanDateKickoff,ARF[Date], "&lt;=" &amp; cleanDateMilestone1)</f>
        <v>0</v>
      </c>
      <c r="K48" s="85">
        <f ca="1">'Milestone 1'!$C48</f>
        <v>0</v>
      </c>
      <c r="L48" s="85">
        <f ca="1">'Milestone 1'!$D48</f>
        <v>0</v>
      </c>
      <c r="M48" s="85">
        <f ca="1">'Milestone 1'!$E48</f>
        <v>0</v>
      </c>
      <c r="N48" s="85">
        <f ca="1">'Milestone 1'!$F48</f>
        <v>0</v>
      </c>
      <c r="O48" s="60">
        <f ca="1">SUM(budgetMilestone1[[#This Row],[Milestone 1]:[Final]])</f>
        <v>0</v>
      </c>
      <c r="P48" s="60">
        <f>ROW()-ROW(budgetMilestone1[#Headers])</f>
        <v>31</v>
      </c>
      <c r="Q48" s="60">
        <f>IF(budgetMilestone1[row] &lt;= numCategories +3, budgetMilestone1[row]-1, MOD(budgetMilestone1[row]-1,numCategories+3) + IF(MOD(budgetMilestone1[row]-2,numCategories+2)&gt;numCategories+1, 1,0))</f>
        <v>8</v>
      </c>
      <c r="R48" s="60">
        <f>IFERROR(INDEX(directors[Last],MAX(1,FLOOR((budgetMilestone1[row]-1)/(numCategories+3)+1,1))),1)</f>
        <v>0</v>
      </c>
    </row>
    <row r="49" spans="1:18" ht="15" customHeight="1" x14ac:dyDescent="0.25">
      <c r="A49" s="105" t="str">
        <f ca="1"/>
        <v>Subtotal 0</v>
      </c>
      <c r="B49" s="105">
        <f ca="1"/>
        <v>0</v>
      </c>
      <c r="C49" s="105">
        <f ca="1"/>
        <v>0</v>
      </c>
      <c r="D49" s="105">
        <f ca="1"/>
        <v>0</v>
      </c>
      <c r="E49" s="105">
        <f ca="1"/>
        <v>0</v>
      </c>
      <c r="F49" s="105">
        <f ca="1"/>
        <v>0</v>
      </c>
      <c r="G49" s="105">
        <f ca="1"/>
        <v>0</v>
      </c>
      <c r="I49"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Subtotal 0</v>
      </c>
      <c r="J49" s="60">
        <f>SUBTOTAL(9,J41:J48)</f>
        <v>0</v>
      </c>
      <c r="K49" s="60">
        <f ca="1">SUBTOTAL(9,K41:K48)</f>
        <v>0</v>
      </c>
      <c r="L49" s="60">
        <f t="shared" ref="L49:O49" ca="1" si="2">SUBTOTAL(9,L41:L48)</f>
        <v>0</v>
      </c>
      <c r="M49" s="60">
        <f t="shared" ca="1" si="2"/>
        <v>0</v>
      </c>
      <c r="N49" s="60">
        <f t="shared" ca="1" si="2"/>
        <v>0</v>
      </c>
      <c r="O49" s="60">
        <f t="shared" ca="1" si="2"/>
        <v>0</v>
      </c>
      <c r="P49" s="60">
        <f>ROW()-ROW(budgetMilestone1[#Headers])</f>
        <v>32</v>
      </c>
      <c r="Q49" s="60">
        <f>IF(budgetMilestone1[row] &lt;= numCategories +3, budgetMilestone1[row]-1, MOD(budgetMilestone1[row]-1,numCategories+3) + IF(MOD(budgetMilestone1[row]-2,numCategories+2)&gt;numCategories+1, 1,0))</f>
        <v>9</v>
      </c>
      <c r="R49" s="60">
        <f>IFERROR(INDEX(directors[Last],MAX(1,FLOOR((budgetMilestone1[row]-1)/(numCategories+3)+1,1))),1)</f>
        <v>0</v>
      </c>
    </row>
    <row r="50" spans="1:18" ht="15" customHeight="1" x14ac:dyDescent="0.25">
      <c r="A50" s="105" t="str">
        <f ca="1"/>
        <v/>
      </c>
      <c r="B50" s="105">
        <f ca="1"/>
        <v>0</v>
      </c>
      <c r="C50" s="105">
        <f ca="1"/>
        <v>0</v>
      </c>
      <c r="D50" s="105">
        <f ca="1"/>
        <v>0</v>
      </c>
      <c r="E50" s="105">
        <f ca="1"/>
        <v>0</v>
      </c>
      <c r="F50" s="105">
        <f ca="1"/>
        <v>0</v>
      </c>
      <c r="G50" s="105">
        <f ca="1"/>
        <v>0</v>
      </c>
      <c r="I50"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c>
      <c r="O50" s="60">
        <f>SUM(budgetMilestone1[[#This Row],[Milestone 1]:[Final]])</f>
        <v>0</v>
      </c>
      <c r="P50" s="60">
        <f>ROW()-ROW(budgetMilestone1[#Headers])</f>
        <v>33</v>
      </c>
      <c r="Q50" s="60">
        <f>IF(budgetMilestone1[row] &lt;= numCategories +3, budgetMilestone1[row]-1, MOD(budgetMilestone1[row]-1,numCategories+3) + IF(MOD(budgetMilestone1[row]-2,numCategories+2)&gt;numCategories+1, 1,0))</f>
        <v>10</v>
      </c>
      <c r="R50" s="60">
        <f>IFERROR(INDEX(directors[Last],MAX(1,FLOOR((budgetMilestone1[row]-1)/(numCategories+3)+1,1))),1)</f>
        <v>0</v>
      </c>
    </row>
    <row r="51" spans="1:18" ht="15" customHeight="1" x14ac:dyDescent="0.25">
      <c r="A51" s="105" t="str">
        <f ca="1"/>
        <v xml:space="preserve">0 / </v>
      </c>
      <c r="B51" s="105">
        <f ca="1"/>
        <v>0</v>
      </c>
      <c r="C51" s="105">
        <f ca="1"/>
        <v>0</v>
      </c>
      <c r="D51" s="105">
        <f ca="1"/>
        <v>0</v>
      </c>
      <c r="E51" s="105">
        <f ca="1"/>
        <v>0</v>
      </c>
      <c r="F51" s="105">
        <f ca="1"/>
        <v>0</v>
      </c>
      <c r="G51" s="105">
        <f ca="1"/>
        <v>0</v>
      </c>
      <c r="I51"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xml:space="preserve">0 / </v>
      </c>
      <c r="O51" s="60">
        <f>SUM(budgetMilestone1[[#This Row],[Milestone 1]:[Final]])</f>
        <v>0</v>
      </c>
      <c r="P51" s="60">
        <f>ROW()-ROW(budgetMilestone1[#Headers])</f>
        <v>34</v>
      </c>
      <c r="Q51" s="60">
        <f>IF(budgetMilestone1[row] &lt;= numCategories +3, budgetMilestone1[row]-1, MOD(budgetMilestone1[row]-1,numCategories+3) + IF(MOD(budgetMilestone1[row]-2,numCategories+2)&gt;numCategories+1, 1,0))</f>
        <v>0</v>
      </c>
      <c r="R51" s="60">
        <f>IFERROR(INDEX(directors[Last],MAX(1,FLOOR((budgetMilestone1[row]-1)/(numCategories+3)+1,1))),1)</f>
        <v>0</v>
      </c>
    </row>
    <row r="52" spans="1:18" ht="15" customHeight="1" x14ac:dyDescent="0.25">
      <c r="A52" s="105" t="str">
        <f ca="1"/>
        <v>Equipment</v>
      </c>
      <c r="B52" s="105">
        <f ca="1"/>
        <v>0</v>
      </c>
      <c r="C52" s="105">
        <f ca="1"/>
        <v>0</v>
      </c>
      <c r="D52" s="105">
        <f ca="1"/>
        <v>0</v>
      </c>
      <c r="E52" s="105">
        <f ca="1"/>
        <v>0</v>
      </c>
      <c r="F52" s="105">
        <f ca="1"/>
        <v>0</v>
      </c>
      <c r="G52" s="105">
        <f ca="1"/>
        <v>0</v>
      </c>
      <c r="I52"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Equipment</v>
      </c>
      <c r="J52" s="60">
        <f>SUMIFS(ARF[Amount in Euro], ARF[Co Director],budgetMilestone1[director], ARF[Category], budgetMilestone1[Category], ARF[Date], "&gt;" &amp; cleanDateKickoff,ARF[Date], "&lt;=" &amp; cleanDateMilestone1)</f>
        <v>0</v>
      </c>
      <c r="K52" s="85">
        <f ca="1">'Milestone 1'!$C52</f>
        <v>0</v>
      </c>
      <c r="L52" s="85">
        <f ca="1">'Milestone 1'!$D52</f>
        <v>0</v>
      </c>
      <c r="M52" s="85">
        <f ca="1">'Milestone 1'!$E52</f>
        <v>0</v>
      </c>
      <c r="N52" s="85">
        <f ca="1">'Milestone 1'!$F52</f>
        <v>0</v>
      </c>
      <c r="O52" s="60">
        <f ca="1">SUM(budgetMilestone1[[#This Row],[Milestone 1]:[Final]])</f>
        <v>0</v>
      </c>
      <c r="P52" s="60">
        <f>ROW()-ROW(budgetMilestone1[#Headers])</f>
        <v>35</v>
      </c>
      <c r="Q52" s="60">
        <f>IF(budgetMilestone1[row] &lt;= numCategories +3, budgetMilestone1[row]-1, MOD(budgetMilestone1[row]-1,numCategories+3) + IF(MOD(budgetMilestone1[row]-2,numCategories+2)&gt;numCategories+1, 1,0))</f>
        <v>1</v>
      </c>
      <c r="R52" s="60">
        <f>IFERROR(INDEX(directors[Last],MAX(1,FLOOR((budgetMilestone1[row]-1)/(numCategories+3)+1,1))),1)</f>
        <v>0</v>
      </c>
    </row>
    <row r="53" spans="1:18" ht="15" customHeight="1" x14ac:dyDescent="0.25">
      <c r="A53" s="105" t="str">
        <f ca="1"/>
        <v>Training</v>
      </c>
      <c r="B53" s="105">
        <f ca="1"/>
        <v>0</v>
      </c>
      <c r="C53" s="105">
        <f ca="1"/>
        <v>0</v>
      </c>
      <c r="D53" s="105">
        <f ca="1"/>
        <v>0</v>
      </c>
      <c r="E53" s="105">
        <f ca="1"/>
        <v>0</v>
      </c>
      <c r="F53" s="105">
        <f ca="1"/>
        <v>0</v>
      </c>
      <c r="G53" s="105">
        <f ca="1"/>
        <v>0</v>
      </c>
      <c r="I53"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Training</v>
      </c>
      <c r="J53" s="60">
        <f>SUMIFS(ARF[Amount in Euro], ARF[Co Director],budgetMilestone1[director], ARF[Category], budgetMilestone1[Category], ARF[Date], "&gt;" &amp; cleanDateKickoff,ARF[Date], "&lt;=" &amp; cleanDateMilestone1)</f>
        <v>0</v>
      </c>
      <c r="K53" s="85">
        <f ca="1">'Milestone 1'!$C53</f>
        <v>0</v>
      </c>
      <c r="L53" s="85">
        <f ca="1">'Milestone 1'!$D53</f>
        <v>0</v>
      </c>
      <c r="M53" s="85">
        <f ca="1">'Milestone 1'!$E53</f>
        <v>0</v>
      </c>
      <c r="N53" s="85">
        <f ca="1">'Milestone 1'!$F53</f>
        <v>0</v>
      </c>
      <c r="O53" s="60">
        <f ca="1">SUM(budgetMilestone1[[#This Row],[Milestone 1]:[Final]])</f>
        <v>0</v>
      </c>
      <c r="P53" s="60">
        <f>ROW()-ROW(budgetMilestone1[#Headers])</f>
        <v>36</v>
      </c>
      <c r="Q53" s="60">
        <f>IF(budgetMilestone1[row] &lt;= numCategories +3, budgetMilestone1[row]-1, MOD(budgetMilestone1[row]-1,numCategories+3) + IF(MOD(budgetMilestone1[row]-2,numCategories+2)&gt;numCategories+1, 1,0))</f>
        <v>2</v>
      </c>
      <c r="R53" s="60">
        <f>IFERROR(INDEX(directors[Last],MAX(1,FLOOR((budgetMilestone1[row]-1)/(numCategories+3)+1,1))),1)</f>
        <v>0</v>
      </c>
    </row>
    <row r="54" spans="1:18" ht="15" customHeight="1" x14ac:dyDescent="0.25">
      <c r="A54" s="105" t="str">
        <f ca="1"/>
        <v>Communication &amp; Publication</v>
      </c>
      <c r="B54" s="105">
        <f ca="1"/>
        <v>0</v>
      </c>
      <c r="C54" s="105">
        <f ca="1"/>
        <v>0</v>
      </c>
      <c r="D54" s="105">
        <f ca="1"/>
        <v>0</v>
      </c>
      <c r="E54" s="105">
        <f ca="1"/>
        <v>0</v>
      </c>
      <c r="F54" s="105">
        <f ca="1"/>
        <v>0</v>
      </c>
      <c r="G54" s="105">
        <f ca="1"/>
        <v>0</v>
      </c>
      <c r="I54"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Communication &amp; Publication</v>
      </c>
      <c r="J54" s="60">
        <f>SUMIFS(ARF[Amount in Euro], ARF[Co Director],budgetMilestone1[director], ARF[Category], budgetMilestone1[Category], ARF[Date], "&gt;" &amp; cleanDateKickoff,ARF[Date], "&lt;=" &amp; cleanDateMilestone1)</f>
        <v>0</v>
      </c>
      <c r="K54" s="85">
        <f ca="1">'Milestone 1'!$C54</f>
        <v>0</v>
      </c>
      <c r="L54" s="85">
        <f ca="1">'Milestone 1'!$D54</f>
        <v>0</v>
      </c>
      <c r="M54" s="85">
        <f ca="1">'Milestone 1'!$E54</f>
        <v>0</v>
      </c>
      <c r="N54" s="85">
        <f ca="1">'Milestone 1'!$F54</f>
        <v>0</v>
      </c>
      <c r="O54" s="60">
        <f ca="1">SUM(budgetMilestone1[[#This Row],[Milestone 1]:[Final]])</f>
        <v>0</v>
      </c>
      <c r="P54" s="60">
        <f>ROW()-ROW(budgetMilestone1[#Headers])</f>
        <v>37</v>
      </c>
      <c r="Q54" s="60">
        <f>IF(budgetMilestone1[row] &lt;= numCategories +3, budgetMilestone1[row]-1, MOD(budgetMilestone1[row]-1,numCategories+3) + IF(MOD(budgetMilestone1[row]-2,numCategories+2)&gt;numCategories+1, 1,0))</f>
        <v>3</v>
      </c>
      <c r="R54" s="60">
        <f>IFERROR(INDEX(directors[Last],MAX(1,FLOOR((budgetMilestone1[row]-1)/(numCategories+3)+1,1))),1)</f>
        <v>0</v>
      </c>
    </row>
    <row r="55" spans="1:18" ht="15" customHeight="1" x14ac:dyDescent="0.25">
      <c r="A55" s="105" t="str">
        <f ca="1"/>
        <v>Travel</v>
      </c>
      <c r="B55" s="105">
        <f ca="1"/>
        <v>0</v>
      </c>
      <c r="C55" s="105">
        <f ca="1"/>
        <v>0</v>
      </c>
      <c r="D55" s="105">
        <f ca="1"/>
        <v>0</v>
      </c>
      <c r="E55" s="105">
        <f ca="1"/>
        <v>0</v>
      </c>
      <c r="F55" s="105">
        <f ca="1"/>
        <v>0</v>
      </c>
      <c r="G55" s="105">
        <f ca="1"/>
        <v>0</v>
      </c>
      <c r="I55"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Travel</v>
      </c>
      <c r="J55" s="60">
        <f>SUMIFS(ARF[Amount in Euro], ARF[Co Director],budgetMilestone1[director], ARF[Category], budgetMilestone1[Category], ARF[Date], "&gt;" &amp; cleanDateKickoff,ARF[Date], "&lt;=" &amp; cleanDateMilestone1)</f>
        <v>0</v>
      </c>
      <c r="K55" s="85">
        <f ca="1">'Milestone 1'!$C55</f>
        <v>0</v>
      </c>
      <c r="L55" s="85">
        <f ca="1">'Milestone 1'!$D55</f>
        <v>0</v>
      </c>
      <c r="M55" s="85">
        <f ca="1">'Milestone 1'!$E55</f>
        <v>0</v>
      </c>
      <c r="N55" s="85">
        <f ca="1">'Milestone 1'!$F55</f>
        <v>0</v>
      </c>
      <c r="O55" s="60">
        <f ca="1">SUM(budgetMilestone1[[#This Row],[Milestone 1]:[Final]])</f>
        <v>0</v>
      </c>
      <c r="P55" s="61">
        <f>ROW()-ROW(budgetMilestone1[#Headers])</f>
        <v>38</v>
      </c>
      <c r="Q55" s="61">
        <f>IF(budgetMilestone1[row] &lt;= numCategories +3, budgetMilestone1[row]-1, MOD(budgetMilestone1[row]-1,numCategories+3) + IF(MOD(budgetMilestone1[row]-2,numCategories+2)&gt;numCategories+1, 1,0))</f>
        <v>4</v>
      </c>
      <c r="R55" s="60">
        <f>IFERROR(INDEX(directors[Last],MAX(1,FLOOR((budgetMilestone1[row]-1)/(numCategories+3)+1,1))),1)</f>
        <v>0</v>
      </c>
    </row>
    <row r="56" spans="1:18" ht="15" customHeight="1" x14ac:dyDescent="0.25">
      <c r="A56" s="105" t="str">
        <f ca="1"/>
        <v>Consumables</v>
      </c>
      <c r="B56" s="105">
        <f ca="1"/>
        <v>0</v>
      </c>
      <c r="C56" s="105">
        <f ca="1"/>
        <v>0</v>
      </c>
      <c r="D56" s="105">
        <f ca="1"/>
        <v>0</v>
      </c>
      <c r="E56" s="105">
        <f ca="1"/>
        <v>0</v>
      </c>
      <c r="F56" s="105">
        <f ca="1"/>
        <v>0</v>
      </c>
      <c r="G56" s="105">
        <f ca="1"/>
        <v>0</v>
      </c>
      <c r="I56"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Consumables</v>
      </c>
      <c r="J56" s="60">
        <f>SUMIFS(ARF[Amount in Euro], ARF[Co Director],budgetMilestone1[director], ARF[Category], budgetMilestone1[Category], ARF[Date], "&gt;" &amp; cleanDateKickoff,ARF[Date], "&lt;=" &amp; cleanDateMilestone1)</f>
        <v>0</v>
      </c>
      <c r="K56" s="85">
        <f ca="1">'Milestone 1'!$C56</f>
        <v>0</v>
      </c>
      <c r="L56" s="85">
        <f ca="1">'Milestone 1'!$D56</f>
        <v>0</v>
      </c>
      <c r="M56" s="85">
        <f ca="1">'Milestone 1'!$E56</f>
        <v>0</v>
      </c>
      <c r="N56" s="85">
        <f ca="1">'Milestone 1'!$F56</f>
        <v>0</v>
      </c>
      <c r="O56" s="60">
        <f ca="1">SUM(budgetMilestone1[[#This Row],[Milestone 1]:[Final]])</f>
        <v>0</v>
      </c>
      <c r="P56" s="60">
        <f>ROW()-ROW(budgetMilestone1[#Headers])</f>
        <v>39</v>
      </c>
      <c r="Q56" s="60">
        <f>IF(budgetMilestone1[row] &lt;= numCategories +3, budgetMilestone1[row]-1, MOD(budgetMilestone1[row]-1,numCategories+3) + IF(MOD(budgetMilestone1[row]-2,numCategories+2)&gt;numCategories+1, 1,0))</f>
        <v>5</v>
      </c>
      <c r="R56" s="60">
        <f>IFERROR(INDEX(directors[Last],MAX(1,FLOOR((budgetMilestone1[row]-1)/(numCategories+3)+1,1))),1)</f>
        <v>0</v>
      </c>
    </row>
    <row r="57" spans="1:18" ht="15" customHeight="1" x14ac:dyDescent="0.25">
      <c r="A57" s="105" t="str">
        <f ca="1"/>
        <v>Other</v>
      </c>
      <c r="B57" s="105">
        <f ca="1"/>
        <v>0</v>
      </c>
      <c r="C57" s="105">
        <f ca="1"/>
        <v>0</v>
      </c>
      <c r="D57" s="105">
        <f ca="1"/>
        <v>0</v>
      </c>
      <c r="E57" s="105">
        <f ca="1"/>
        <v>0</v>
      </c>
      <c r="F57" s="105">
        <f ca="1"/>
        <v>0</v>
      </c>
      <c r="G57" s="105">
        <f ca="1"/>
        <v>0</v>
      </c>
      <c r="I57"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Other</v>
      </c>
      <c r="J57" s="60">
        <f>SUMIFS(ARF[Amount in Euro], ARF[Co Director],budgetMilestone1[director], ARF[Category], budgetMilestone1[Category], ARF[Date], "&gt;" &amp; cleanDateKickoff,ARF[Date], "&lt;=" &amp; cleanDateMilestone1)</f>
        <v>0</v>
      </c>
      <c r="K57" s="85">
        <f ca="1">'Milestone 1'!$C57</f>
        <v>0</v>
      </c>
      <c r="L57" s="85">
        <f ca="1">'Milestone 1'!$D57</f>
        <v>0</v>
      </c>
      <c r="M57" s="85">
        <f ca="1">'Milestone 1'!$E57</f>
        <v>0</v>
      </c>
      <c r="N57" s="85">
        <f ca="1">'Milestone 1'!$F57</f>
        <v>0</v>
      </c>
      <c r="O57" s="60">
        <f ca="1">SUM(budgetMilestone1[[#This Row],[Milestone 1]:[Final]])</f>
        <v>0</v>
      </c>
      <c r="P57" s="60">
        <f>ROW()-ROW(budgetMilestone1[#Headers])</f>
        <v>40</v>
      </c>
      <c r="Q57" s="60">
        <f>IF(budgetMilestone1[row] &lt;= numCategories +3, budgetMilestone1[row]-1, MOD(budgetMilestone1[row]-1,numCategories+3) + IF(MOD(budgetMilestone1[row]-2,numCategories+2)&gt;numCategories+1, 1,0))</f>
        <v>6</v>
      </c>
      <c r="R57" s="60">
        <f>IFERROR(INDEX(directors[Last],MAX(1,FLOOR((budgetMilestone1[row]-1)/(numCategories+3)+1,1))),1)</f>
        <v>0</v>
      </c>
    </row>
    <row r="58" spans="1:18" ht="15" customHeight="1" x14ac:dyDescent="0.25">
      <c r="A58" s="105" t="str">
        <f ca="1"/>
        <v>Stipends</v>
      </c>
      <c r="B58" s="105">
        <f ca="1"/>
        <v>0</v>
      </c>
      <c r="C58" s="105">
        <f ca="1"/>
        <v>0</v>
      </c>
      <c r="D58" s="105">
        <f ca="1"/>
        <v>0</v>
      </c>
      <c r="E58" s="105">
        <f ca="1"/>
        <v>0</v>
      </c>
      <c r="F58" s="105">
        <f ca="1"/>
        <v>0</v>
      </c>
      <c r="G58" s="105">
        <f ca="1"/>
        <v>0</v>
      </c>
      <c r="I58"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Stipends</v>
      </c>
      <c r="J58" s="60">
        <f>SUMIFS(ARF[Amount in Euro], ARF[Co Director],budgetMilestone1[director], ARF[Category], budgetMilestone1[Category], ARF[Date], "&gt;" &amp; cleanDateKickoff,ARF[Date], "&lt;=" &amp; cleanDateMilestone1)</f>
        <v>0</v>
      </c>
      <c r="K58" s="85">
        <f ca="1">'Milestone 1'!$C58</f>
        <v>0</v>
      </c>
      <c r="L58" s="85">
        <f ca="1">'Milestone 1'!$D58</f>
        <v>0</v>
      </c>
      <c r="M58" s="85">
        <f ca="1">'Milestone 1'!$E58</f>
        <v>0</v>
      </c>
      <c r="N58" s="85">
        <f ca="1">'Milestone 1'!$F58</f>
        <v>0</v>
      </c>
      <c r="O58" s="60">
        <f ca="1">SUM(budgetMilestone1[[#This Row],[Milestone 1]:[Final]])</f>
        <v>0</v>
      </c>
      <c r="P58" s="60">
        <f>ROW()-ROW(budgetMilestone1[#Headers])</f>
        <v>41</v>
      </c>
      <c r="Q58" s="60">
        <f>IF(budgetMilestone1[row] &lt;= numCategories +3, budgetMilestone1[row]-1, MOD(budgetMilestone1[row]-1,numCategories+3) + IF(MOD(budgetMilestone1[row]-2,numCategories+2)&gt;numCategories+1, 1,0))</f>
        <v>7</v>
      </c>
      <c r="R58" s="60">
        <f>IFERROR(INDEX(directors[Last],MAX(1,FLOOR((budgetMilestone1[row]-1)/(numCategories+3)+1,1))),1)</f>
        <v>0</v>
      </c>
    </row>
    <row r="59" spans="1:18" ht="15" customHeight="1" x14ac:dyDescent="0.25">
      <c r="A59" s="105" t="str">
        <f ca="1"/>
        <v>Co-financing of personnel</v>
      </c>
      <c r="B59" s="105">
        <f ca="1"/>
        <v>0</v>
      </c>
      <c r="C59" s="105">
        <f ca="1"/>
        <v>0</v>
      </c>
      <c r="D59" s="105">
        <f ca="1"/>
        <v>0</v>
      </c>
      <c r="E59" s="105">
        <f ca="1"/>
        <v>0</v>
      </c>
      <c r="F59" s="105">
        <f ca="1"/>
        <v>0</v>
      </c>
      <c r="G59" s="105">
        <f ca="1"/>
        <v>0</v>
      </c>
      <c r="I59"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Co-financing of personnel</v>
      </c>
      <c r="J59" s="60">
        <f>SUMIFS(ARF[Amount in Euro], ARF[Co Director],budgetMilestone1[director], ARF[Category], budgetMilestone1[Category], ARF[Date], "&gt;" &amp; cleanDateKickoff,ARF[Date], "&lt;=" &amp; cleanDateMilestone1)</f>
        <v>0</v>
      </c>
      <c r="K59" s="85">
        <f ca="1">'Milestone 1'!$C59</f>
        <v>0</v>
      </c>
      <c r="L59" s="85">
        <f ca="1">'Milestone 1'!$D59</f>
        <v>0</v>
      </c>
      <c r="M59" s="85">
        <f ca="1">'Milestone 1'!$E59</f>
        <v>0</v>
      </c>
      <c r="N59" s="85">
        <f ca="1">'Milestone 1'!$F59</f>
        <v>0</v>
      </c>
      <c r="O59" s="60">
        <f ca="1">SUM(budgetMilestone1[[#This Row],[Milestone 1]:[Final]])</f>
        <v>0</v>
      </c>
      <c r="P59" s="60">
        <f>ROW()-ROW(budgetMilestone1[#Headers])</f>
        <v>42</v>
      </c>
      <c r="Q59" s="60">
        <f>IF(budgetMilestone1[row] &lt;= numCategories +3, budgetMilestone1[row]-1, MOD(budgetMilestone1[row]-1,numCategories+3) + IF(MOD(budgetMilestone1[row]-2,numCategories+2)&gt;numCategories+1, 1,0))</f>
        <v>8</v>
      </c>
      <c r="R59" s="60">
        <f>IFERROR(INDEX(directors[Last],MAX(1,FLOOR((budgetMilestone1[row]-1)/(numCategories+3)+1,1))),1)</f>
        <v>0</v>
      </c>
    </row>
    <row r="60" spans="1:18" ht="15" customHeight="1" x14ac:dyDescent="0.25">
      <c r="A60" s="105" t="str">
        <f ca="1"/>
        <v>Subtotal 0</v>
      </c>
      <c r="B60" s="105">
        <f ca="1"/>
        <v>0</v>
      </c>
      <c r="C60" s="105">
        <f ca="1"/>
        <v>0</v>
      </c>
      <c r="D60" s="105">
        <f ca="1"/>
        <v>0</v>
      </c>
      <c r="E60" s="105">
        <f ca="1"/>
        <v>0</v>
      </c>
      <c r="F60" s="105">
        <f ca="1"/>
        <v>0</v>
      </c>
      <c r="G60" s="105">
        <f ca="1"/>
        <v>0</v>
      </c>
      <c r="I60"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Subtotal 0</v>
      </c>
      <c r="J60" s="60">
        <f t="shared" ref="J60:O82" si="3">SUBTOTAL(9,J52:J59)</f>
        <v>0</v>
      </c>
      <c r="K60" s="60">
        <f t="shared" ca="1" si="3"/>
        <v>0</v>
      </c>
      <c r="L60" s="60">
        <f t="shared" ca="1" si="3"/>
        <v>0</v>
      </c>
      <c r="M60" s="60">
        <f t="shared" ca="1" si="3"/>
        <v>0</v>
      </c>
      <c r="N60" s="60">
        <f t="shared" ca="1" si="3"/>
        <v>0</v>
      </c>
      <c r="O60" s="60">
        <f t="shared" ca="1" si="3"/>
        <v>0</v>
      </c>
      <c r="P60" s="60">
        <f>ROW()-ROW(budgetMilestone1[#Headers])</f>
        <v>43</v>
      </c>
      <c r="Q60" s="60">
        <f>IF(budgetMilestone1[row] &lt;= numCategories +3, budgetMilestone1[row]-1, MOD(budgetMilestone1[row]-1,numCategories+3) + IF(MOD(budgetMilestone1[row]-2,numCategories+2)&gt;numCategories+1, 1,0))</f>
        <v>9</v>
      </c>
      <c r="R60" s="60">
        <f>IFERROR(INDEX(directors[Last],MAX(1,FLOOR((budgetMilestone1[row]-1)/(numCategories+3)+1,1))),1)</f>
        <v>0</v>
      </c>
    </row>
    <row r="61" spans="1:18" ht="15" customHeight="1" x14ac:dyDescent="0.25">
      <c r="A61" s="105" t="str">
        <f ca="1"/>
        <v/>
      </c>
      <c r="B61" s="105">
        <f ca="1"/>
        <v>0</v>
      </c>
      <c r="C61" s="105">
        <f ca="1"/>
        <v>0</v>
      </c>
      <c r="D61" s="105">
        <f ca="1"/>
        <v>0</v>
      </c>
      <c r="E61" s="105">
        <f ca="1"/>
        <v>0</v>
      </c>
      <c r="F61" s="105">
        <f ca="1"/>
        <v>0</v>
      </c>
      <c r="G61" s="105">
        <f ca="1"/>
        <v>0</v>
      </c>
      <c r="I61"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c>
      <c r="O61" s="60">
        <f>SUM(budgetMilestone1[[#This Row],[Milestone 1]:[Final]])</f>
        <v>0</v>
      </c>
      <c r="P61" s="60">
        <f>ROW()-ROW(budgetMilestone1[#Headers])</f>
        <v>44</v>
      </c>
      <c r="Q61" s="60">
        <f>IF(budgetMilestone1[row] &lt;= numCategories +3, budgetMilestone1[row]-1, MOD(budgetMilestone1[row]-1,numCategories+3) + IF(MOD(budgetMilestone1[row]-2,numCategories+2)&gt;numCategories+1, 1,0))</f>
        <v>10</v>
      </c>
      <c r="R61" s="60">
        <f>IFERROR(INDEX(directors[Last],MAX(1,FLOOR((budgetMilestone1[row]-1)/(numCategories+3)+1,1))),1)</f>
        <v>0</v>
      </c>
    </row>
    <row r="62" spans="1:18" ht="15" customHeight="1" x14ac:dyDescent="0.25">
      <c r="A62" s="105" t="str">
        <f ca="1"/>
        <v xml:space="preserve">0 / </v>
      </c>
      <c r="B62" s="105">
        <f ca="1"/>
        <v>0</v>
      </c>
      <c r="C62" s="105">
        <f ca="1"/>
        <v>0</v>
      </c>
      <c r="D62" s="105">
        <f ca="1"/>
        <v>0</v>
      </c>
      <c r="E62" s="105">
        <f ca="1"/>
        <v>0</v>
      </c>
      <c r="F62" s="105">
        <f ca="1"/>
        <v>0</v>
      </c>
      <c r="G62" s="105">
        <f ca="1"/>
        <v>0</v>
      </c>
      <c r="I62"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xml:space="preserve">0 / </v>
      </c>
      <c r="K62" s="85"/>
      <c r="L62" s="85"/>
      <c r="M62" s="85"/>
      <c r="N62" s="85"/>
      <c r="P62" s="60">
        <f>ROW()-ROW(budgetMilestone1[#Headers])</f>
        <v>45</v>
      </c>
      <c r="Q62" s="60">
        <f>IF(budgetMilestone1[row] &lt;= numCategories +3, budgetMilestone1[row]-1, MOD(budgetMilestone1[row]-1,numCategories+3) + IF(MOD(budgetMilestone1[row]-2,numCategories+2)&gt;numCategories+1, 1,0))</f>
        <v>0</v>
      </c>
      <c r="R62" s="60">
        <f>IFERROR(INDEX(directors[Last],MAX(1,FLOOR((budgetMilestone1[row]-1)/(numCategories+3)+1,1))),1)</f>
        <v>0</v>
      </c>
    </row>
    <row r="63" spans="1:18" ht="15" customHeight="1" x14ac:dyDescent="0.25">
      <c r="A63" s="105" t="str">
        <f ca="1"/>
        <v>Equipment</v>
      </c>
      <c r="B63" s="105">
        <f ca="1"/>
        <v>0</v>
      </c>
      <c r="C63" s="105">
        <f ca="1"/>
        <v>0</v>
      </c>
      <c r="D63" s="105">
        <f ca="1"/>
        <v>0</v>
      </c>
      <c r="E63" s="105">
        <f ca="1"/>
        <v>0</v>
      </c>
      <c r="F63" s="105">
        <f ca="1"/>
        <v>0</v>
      </c>
      <c r="G63" s="105">
        <f ca="1"/>
        <v>0</v>
      </c>
      <c r="I63"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Equipment</v>
      </c>
      <c r="J63" s="60">
        <f>SUMIFS(ARF[Amount in Euro], ARF[Co Director],budgetMilestone1[director], ARF[Category], budgetMilestone1[Category], ARF[Date], "&gt;" &amp; cleanDateKickoff,ARF[Date], "&lt;=" &amp; cleanDateMilestone1)</f>
        <v>0</v>
      </c>
      <c r="K63" s="85">
        <f ca="1">'Milestone 1'!$C63</f>
        <v>0</v>
      </c>
      <c r="L63" s="85">
        <f ca="1">'Milestone 1'!$D63</f>
        <v>0</v>
      </c>
      <c r="M63" s="85">
        <f ca="1">'Milestone 1'!$E63</f>
        <v>0</v>
      </c>
      <c r="N63" s="85">
        <f ca="1">'Milestone 1'!$F63</f>
        <v>0</v>
      </c>
      <c r="O63" s="60">
        <f ca="1">SUM(budgetMilestone1[[#This Row],[Milestone 1]:[Final]])</f>
        <v>0</v>
      </c>
      <c r="P63" s="60">
        <f>ROW()-ROW(budgetMilestone1[#Headers])</f>
        <v>46</v>
      </c>
      <c r="Q63" s="60">
        <f>IF(budgetMilestone1[row] &lt;= numCategories +3, budgetMilestone1[row]-1, MOD(budgetMilestone1[row]-1,numCategories+3) + IF(MOD(budgetMilestone1[row]-2,numCategories+2)&gt;numCategories+1, 1,0))</f>
        <v>1</v>
      </c>
      <c r="R63" s="60">
        <f>IFERROR(INDEX(directors[Last],MAX(1,FLOOR((budgetMilestone1[row]-1)/(numCategories+3)+1,1))),1)</f>
        <v>0</v>
      </c>
    </row>
    <row r="64" spans="1:18" ht="15" customHeight="1" x14ac:dyDescent="0.25">
      <c r="A64" s="105" t="str">
        <f ca="1"/>
        <v>Training</v>
      </c>
      <c r="B64" s="105">
        <f ca="1"/>
        <v>0</v>
      </c>
      <c r="C64" s="105">
        <f ca="1"/>
        <v>0</v>
      </c>
      <c r="D64" s="105">
        <f ca="1"/>
        <v>0</v>
      </c>
      <c r="E64" s="105">
        <f ca="1"/>
        <v>0</v>
      </c>
      <c r="F64" s="105">
        <f ca="1"/>
        <v>0</v>
      </c>
      <c r="G64" s="105">
        <f ca="1"/>
        <v>0</v>
      </c>
      <c r="I64"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Training</v>
      </c>
      <c r="J64" s="60">
        <f>SUMIFS(ARF[Amount in Euro], ARF[Co Director],budgetMilestone1[director], ARF[Category], budgetMilestone1[Category], ARF[Date], "&gt;" &amp; cleanDateKickoff,ARF[Date], "&lt;=" &amp; cleanDateMilestone1)</f>
        <v>0</v>
      </c>
      <c r="K64" s="85">
        <f ca="1">'Milestone 1'!$C64</f>
        <v>0</v>
      </c>
      <c r="L64" s="85">
        <f ca="1">'Milestone 1'!$D64</f>
        <v>0</v>
      </c>
      <c r="M64" s="85">
        <f ca="1">'Milestone 1'!$E64</f>
        <v>0</v>
      </c>
      <c r="N64" s="85">
        <f ca="1">'Milestone 1'!$F64</f>
        <v>0</v>
      </c>
      <c r="O64" s="60">
        <f ca="1">SUM(budgetMilestone1[[#This Row],[Milestone 1]:[Final]])</f>
        <v>0</v>
      </c>
      <c r="P64" s="60">
        <f>ROW()-ROW(budgetMilestone1[#Headers])</f>
        <v>47</v>
      </c>
      <c r="Q64" s="60">
        <f>IF(budgetMilestone1[row] &lt;= numCategories +3, budgetMilestone1[row]-1, MOD(budgetMilestone1[row]-1,numCategories+3) + IF(MOD(budgetMilestone1[row]-2,numCategories+2)&gt;numCategories+1, 1,0))</f>
        <v>2</v>
      </c>
      <c r="R64" s="60">
        <f>IFERROR(INDEX(directors[Last],MAX(1,FLOOR((budgetMilestone1[row]-1)/(numCategories+3)+1,1))),1)</f>
        <v>0</v>
      </c>
    </row>
    <row r="65" spans="1:18" ht="15" customHeight="1" x14ac:dyDescent="0.25">
      <c r="A65" s="105" t="str">
        <f ca="1"/>
        <v>Communication &amp; Publication</v>
      </c>
      <c r="B65" s="105">
        <f ca="1"/>
        <v>0</v>
      </c>
      <c r="C65" s="105">
        <f ca="1"/>
        <v>0</v>
      </c>
      <c r="D65" s="105">
        <f ca="1"/>
        <v>0</v>
      </c>
      <c r="E65" s="105">
        <f ca="1"/>
        <v>0</v>
      </c>
      <c r="F65" s="105">
        <f ca="1"/>
        <v>0</v>
      </c>
      <c r="G65" s="105">
        <f ca="1"/>
        <v>0</v>
      </c>
      <c r="I65"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Communication &amp; Publication</v>
      </c>
      <c r="J65" s="60">
        <f>SUMIFS(ARF[Amount in Euro], ARF[Co Director],budgetMilestone1[director], ARF[Category], budgetMilestone1[Category], ARF[Date], "&gt;" &amp; cleanDateKickoff,ARF[Date], "&lt;=" &amp; cleanDateMilestone1)</f>
        <v>0</v>
      </c>
      <c r="K65" s="85">
        <f ca="1">'Milestone 1'!$C65</f>
        <v>0</v>
      </c>
      <c r="L65" s="85">
        <f ca="1">'Milestone 1'!$D65</f>
        <v>0</v>
      </c>
      <c r="M65" s="85">
        <f ca="1">'Milestone 1'!$E65</f>
        <v>0</v>
      </c>
      <c r="N65" s="85">
        <f ca="1">'Milestone 1'!$F65</f>
        <v>0</v>
      </c>
      <c r="O65" s="60">
        <f ca="1">SUM(budgetMilestone1[[#This Row],[Milestone 1]:[Final]])</f>
        <v>0</v>
      </c>
      <c r="P65" s="60">
        <f>ROW()-ROW(budgetMilestone1[#Headers])</f>
        <v>48</v>
      </c>
      <c r="Q65" s="60">
        <f>IF(budgetMilestone1[row] &lt;= numCategories +3, budgetMilestone1[row]-1, MOD(budgetMilestone1[row]-1,numCategories+3) + IF(MOD(budgetMilestone1[row]-2,numCategories+2)&gt;numCategories+1, 1,0))</f>
        <v>3</v>
      </c>
      <c r="R65" s="60">
        <f>IFERROR(INDEX(directors[Last],MAX(1,FLOOR((budgetMilestone1[row]-1)/(numCategories+3)+1,1))),1)</f>
        <v>0</v>
      </c>
    </row>
    <row r="66" spans="1:18" ht="15" customHeight="1" x14ac:dyDescent="0.25">
      <c r="A66" s="105" t="str">
        <f ca="1"/>
        <v>Travel</v>
      </c>
      <c r="B66" s="105">
        <f ca="1"/>
        <v>0</v>
      </c>
      <c r="C66" s="105">
        <f ca="1"/>
        <v>0</v>
      </c>
      <c r="D66" s="105">
        <f ca="1"/>
        <v>0</v>
      </c>
      <c r="E66" s="105">
        <f ca="1"/>
        <v>0</v>
      </c>
      <c r="F66" s="105">
        <f ca="1"/>
        <v>0</v>
      </c>
      <c r="G66" s="105">
        <f ca="1"/>
        <v>0</v>
      </c>
      <c r="I66"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Travel</v>
      </c>
      <c r="J66" s="60">
        <f>SUMIFS(ARF[Amount in Euro], ARF[Co Director],budgetMilestone1[director], ARF[Category], budgetMilestone1[Category], ARF[Date], "&gt;" &amp; cleanDateKickoff,ARF[Date], "&lt;=" &amp; cleanDateMilestone1)</f>
        <v>0</v>
      </c>
      <c r="K66" s="85">
        <f ca="1">'Milestone 1'!$C66</f>
        <v>0</v>
      </c>
      <c r="L66" s="85">
        <f ca="1">'Milestone 1'!$D66</f>
        <v>0</v>
      </c>
      <c r="M66" s="85">
        <f ca="1">'Milestone 1'!$E66</f>
        <v>0</v>
      </c>
      <c r="N66" s="85">
        <f ca="1">'Milestone 1'!$F66</f>
        <v>0</v>
      </c>
      <c r="O66" s="60">
        <f ca="1">SUM(budgetMilestone1[[#This Row],[Milestone 1]:[Final]])</f>
        <v>0</v>
      </c>
      <c r="P66" s="60">
        <f>ROW()-ROW(budgetMilestone1[#Headers])</f>
        <v>49</v>
      </c>
      <c r="Q66" s="60">
        <f>IF(budgetMilestone1[row] &lt;= numCategories +3, budgetMilestone1[row]-1, MOD(budgetMilestone1[row]-1,numCategories+3) + IF(MOD(budgetMilestone1[row]-2,numCategories+2)&gt;numCategories+1, 1,0))</f>
        <v>4</v>
      </c>
      <c r="R66" s="60">
        <f>IFERROR(INDEX(directors[Last],MAX(1,FLOOR((budgetMilestone1[row]-1)/(numCategories+3)+1,1))),1)</f>
        <v>0</v>
      </c>
    </row>
    <row r="67" spans="1:18" ht="15" customHeight="1" x14ac:dyDescent="0.25">
      <c r="A67" s="105" t="str">
        <f ca="1"/>
        <v>Consumables</v>
      </c>
      <c r="B67" s="105">
        <f ca="1"/>
        <v>0</v>
      </c>
      <c r="C67" s="105">
        <f ca="1"/>
        <v>0</v>
      </c>
      <c r="D67" s="105">
        <f ca="1"/>
        <v>0</v>
      </c>
      <c r="E67" s="105">
        <f ca="1"/>
        <v>0</v>
      </c>
      <c r="F67" s="105">
        <f ca="1"/>
        <v>0</v>
      </c>
      <c r="G67" s="105">
        <f ca="1"/>
        <v>0</v>
      </c>
      <c r="I67"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Consumables</v>
      </c>
      <c r="J67" s="60">
        <f>SUMIFS(ARF[Amount in Euro], ARF[Co Director],budgetMilestone1[director], ARF[Category], budgetMilestone1[Category], ARF[Date], "&gt;" &amp; cleanDateKickoff,ARF[Date], "&lt;=" &amp; cleanDateMilestone1)</f>
        <v>0</v>
      </c>
      <c r="K67" s="85">
        <f ca="1">'Milestone 1'!$C67</f>
        <v>0</v>
      </c>
      <c r="L67" s="85">
        <f ca="1">'Milestone 1'!$D67</f>
        <v>0</v>
      </c>
      <c r="M67" s="85">
        <f ca="1">'Milestone 1'!$E67</f>
        <v>0</v>
      </c>
      <c r="N67" s="85">
        <f ca="1">'Milestone 1'!$F67</f>
        <v>0</v>
      </c>
      <c r="O67" s="60">
        <f ca="1">SUM(budgetMilestone1[[#This Row],[Milestone 1]:[Final]])</f>
        <v>0</v>
      </c>
      <c r="P67" s="60">
        <f>ROW()-ROW(budgetMilestone1[#Headers])</f>
        <v>50</v>
      </c>
      <c r="Q67" s="60">
        <f>IF(budgetMilestone1[row] &lt;= numCategories +3, budgetMilestone1[row]-1, MOD(budgetMilestone1[row]-1,numCategories+3) + IF(MOD(budgetMilestone1[row]-2,numCategories+2)&gt;numCategories+1, 1,0))</f>
        <v>5</v>
      </c>
      <c r="R67" s="60">
        <f>IFERROR(INDEX(directors[Last],MAX(1,FLOOR((budgetMilestone1[row]-1)/(numCategories+3)+1,1))),1)</f>
        <v>0</v>
      </c>
    </row>
    <row r="68" spans="1:18" ht="15" customHeight="1" x14ac:dyDescent="0.25">
      <c r="A68" s="105" t="str">
        <f ca="1"/>
        <v>Other</v>
      </c>
      <c r="B68" s="105">
        <f ca="1"/>
        <v>0</v>
      </c>
      <c r="C68" s="105">
        <f ca="1"/>
        <v>0</v>
      </c>
      <c r="D68" s="105">
        <f ca="1"/>
        <v>0</v>
      </c>
      <c r="E68" s="105">
        <f ca="1"/>
        <v>0</v>
      </c>
      <c r="F68" s="105">
        <f ca="1"/>
        <v>0</v>
      </c>
      <c r="G68" s="105">
        <f ca="1"/>
        <v>0</v>
      </c>
      <c r="I68"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Other</v>
      </c>
      <c r="J68" s="60">
        <f>SUMIFS(ARF[Amount in Euro], ARF[Co Director],budgetMilestone1[director], ARF[Category], budgetMilestone1[Category], ARF[Date], "&gt;" &amp; cleanDateKickoff,ARF[Date], "&lt;=" &amp; cleanDateMilestone1)</f>
        <v>0</v>
      </c>
      <c r="K68" s="85">
        <f ca="1">'Milestone 1'!$C68</f>
        <v>0</v>
      </c>
      <c r="L68" s="85">
        <f ca="1">'Milestone 1'!$D68</f>
        <v>0</v>
      </c>
      <c r="M68" s="85">
        <f ca="1">'Milestone 1'!$E68</f>
        <v>0</v>
      </c>
      <c r="N68" s="85">
        <f ca="1">'Milestone 1'!$F68</f>
        <v>0</v>
      </c>
      <c r="O68" s="60">
        <f ca="1">SUM(budgetMilestone1[[#This Row],[Milestone 1]:[Final]])</f>
        <v>0</v>
      </c>
      <c r="P68" s="60">
        <f>ROW()-ROW(budgetMilestone1[#Headers])</f>
        <v>51</v>
      </c>
      <c r="Q68" s="60">
        <f>IF(budgetMilestone1[row] &lt;= numCategories +3, budgetMilestone1[row]-1, MOD(budgetMilestone1[row]-1,numCategories+3) + IF(MOD(budgetMilestone1[row]-2,numCategories+2)&gt;numCategories+1, 1,0))</f>
        <v>6</v>
      </c>
      <c r="R68" s="60">
        <f>IFERROR(INDEX(directors[Last],MAX(1,FLOOR((budgetMilestone1[row]-1)/(numCategories+3)+1,1))),1)</f>
        <v>0</v>
      </c>
    </row>
    <row r="69" spans="1:18" ht="15" customHeight="1" x14ac:dyDescent="0.25">
      <c r="A69" s="105" t="str">
        <f ca="1"/>
        <v>Stipends</v>
      </c>
      <c r="B69" s="105">
        <f ca="1"/>
        <v>0</v>
      </c>
      <c r="C69" s="105">
        <f ca="1"/>
        <v>0</v>
      </c>
      <c r="D69" s="105">
        <f ca="1"/>
        <v>0</v>
      </c>
      <c r="E69" s="105">
        <f ca="1"/>
        <v>0</v>
      </c>
      <c r="F69" s="105">
        <f ca="1"/>
        <v>0</v>
      </c>
      <c r="G69" s="105">
        <f ca="1"/>
        <v>0</v>
      </c>
      <c r="I69"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Stipends</v>
      </c>
      <c r="J69" s="60">
        <f>SUMIFS(ARF[Amount in Euro], ARF[Co Director],budgetMilestone1[director], ARF[Category], budgetMilestone1[Category], ARF[Date], "&gt;" &amp; cleanDateKickoff,ARF[Date], "&lt;=" &amp; cleanDateMilestone1)</f>
        <v>0</v>
      </c>
      <c r="K69" s="85">
        <f ca="1">'Milestone 1'!$C69</f>
        <v>0</v>
      </c>
      <c r="L69" s="85">
        <f ca="1">'Milestone 1'!$D69</f>
        <v>0</v>
      </c>
      <c r="M69" s="85">
        <f ca="1">'Milestone 1'!$E69</f>
        <v>0</v>
      </c>
      <c r="N69" s="85">
        <f ca="1">'Milestone 1'!$F69</f>
        <v>0</v>
      </c>
      <c r="O69" s="60">
        <f ca="1">SUM(budgetMilestone1[[#This Row],[Milestone 1]:[Final]])</f>
        <v>0</v>
      </c>
      <c r="P69" s="60">
        <f>ROW()-ROW(budgetMilestone1[#Headers])</f>
        <v>52</v>
      </c>
      <c r="Q69" s="60">
        <f>IF(budgetMilestone1[row] &lt;= numCategories +3, budgetMilestone1[row]-1, MOD(budgetMilestone1[row]-1,numCategories+3) + IF(MOD(budgetMilestone1[row]-2,numCategories+2)&gt;numCategories+1, 1,0))</f>
        <v>7</v>
      </c>
      <c r="R69" s="60">
        <f>IFERROR(INDEX(directors[Last],MAX(1,FLOOR((budgetMilestone1[row]-1)/(numCategories+3)+1,1))),1)</f>
        <v>0</v>
      </c>
    </row>
    <row r="70" spans="1:18" ht="15" customHeight="1" x14ac:dyDescent="0.25">
      <c r="A70" s="105" t="str">
        <f ca="1"/>
        <v>Co-financing of personnel</v>
      </c>
      <c r="B70" s="105">
        <f ca="1"/>
        <v>0</v>
      </c>
      <c r="C70" s="105">
        <f ca="1"/>
        <v>0</v>
      </c>
      <c r="D70" s="105">
        <f ca="1"/>
        <v>0</v>
      </c>
      <c r="E70" s="105">
        <f ca="1"/>
        <v>0</v>
      </c>
      <c r="F70" s="105">
        <f ca="1"/>
        <v>0</v>
      </c>
      <c r="G70" s="105">
        <f ca="1"/>
        <v>0</v>
      </c>
      <c r="I70"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Co-financing of personnel</v>
      </c>
      <c r="J70" s="60">
        <f>SUMIFS(ARF[Amount in Euro], ARF[Co Director],budgetMilestone1[director], ARF[Category], budgetMilestone1[Category], ARF[Date], "&gt;" &amp; cleanDateKickoff,ARF[Date], "&lt;=" &amp; cleanDateMilestone1)</f>
        <v>0</v>
      </c>
      <c r="K70" s="85">
        <f ca="1">'Milestone 1'!$C70</f>
        <v>0</v>
      </c>
      <c r="L70" s="85">
        <f ca="1">'Milestone 1'!$D70</f>
        <v>0</v>
      </c>
      <c r="M70" s="85">
        <f ca="1">'Milestone 1'!$E70</f>
        <v>0</v>
      </c>
      <c r="N70" s="85">
        <f ca="1">'Milestone 1'!$F70</f>
        <v>0</v>
      </c>
      <c r="O70" s="60">
        <f ca="1">SUM(budgetMilestone1[[#This Row],[Milestone 1]:[Final]])</f>
        <v>0</v>
      </c>
      <c r="P70" s="60">
        <f>ROW()-ROW(budgetMilestone1[#Headers])</f>
        <v>53</v>
      </c>
      <c r="Q70" s="60">
        <f>IF(budgetMilestone1[row] &lt;= numCategories +3, budgetMilestone1[row]-1, MOD(budgetMilestone1[row]-1,numCategories+3) + IF(MOD(budgetMilestone1[row]-2,numCategories+2)&gt;numCategories+1, 1,0))</f>
        <v>8</v>
      </c>
      <c r="R70" s="60">
        <f>IFERROR(INDEX(directors[Last],MAX(1,FLOOR((budgetMilestone1[row]-1)/(numCategories+3)+1,1))),1)</f>
        <v>0</v>
      </c>
    </row>
    <row r="71" spans="1:18" ht="15" customHeight="1" x14ac:dyDescent="0.25">
      <c r="A71" s="105" t="str">
        <f ca="1"/>
        <v>Subtotal 0</v>
      </c>
      <c r="B71" s="105">
        <f ca="1"/>
        <v>0</v>
      </c>
      <c r="C71" s="105">
        <f ca="1"/>
        <v>0</v>
      </c>
      <c r="D71" s="105">
        <f ca="1"/>
        <v>0</v>
      </c>
      <c r="E71" s="105">
        <f ca="1"/>
        <v>0</v>
      </c>
      <c r="F71" s="105">
        <f ca="1"/>
        <v>0</v>
      </c>
      <c r="G71" s="105">
        <f ca="1"/>
        <v>0</v>
      </c>
      <c r="I71"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Subtotal 0</v>
      </c>
      <c r="J71" s="60">
        <f t="shared" ref="J71:O93" si="4">SUBTOTAL(9,J63:J70)</f>
        <v>0</v>
      </c>
      <c r="K71" s="60">
        <f t="shared" ca="1" si="4"/>
        <v>0</v>
      </c>
      <c r="L71" s="60">
        <f t="shared" ca="1" si="4"/>
        <v>0</v>
      </c>
      <c r="M71" s="60">
        <f t="shared" ca="1" si="4"/>
        <v>0</v>
      </c>
      <c r="N71" s="60">
        <f t="shared" ca="1" si="4"/>
        <v>0</v>
      </c>
      <c r="O71" s="60">
        <f t="shared" ca="1" si="4"/>
        <v>0</v>
      </c>
      <c r="P71" s="60">
        <f>ROW()-ROW(budgetMilestone1[#Headers])</f>
        <v>54</v>
      </c>
      <c r="Q71" s="60">
        <f>IF(budgetMilestone1[row] &lt;= numCategories +3, budgetMilestone1[row]-1, MOD(budgetMilestone1[row]-1,numCategories+3) + IF(MOD(budgetMilestone1[row]-2,numCategories+2)&gt;numCategories+1, 1,0))</f>
        <v>9</v>
      </c>
      <c r="R71" s="60">
        <f>IFERROR(INDEX(directors[Last],MAX(1,FLOOR((budgetMilestone1[row]-1)/(numCategories+3)+1,1))),1)</f>
        <v>0</v>
      </c>
    </row>
    <row r="72" spans="1:18" ht="15" customHeight="1" x14ac:dyDescent="0.25">
      <c r="A72" s="105">
        <f ca="1"/>
        <v>0</v>
      </c>
      <c r="B72" s="105">
        <f ca="1"/>
        <v>0</v>
      </c>
      <c r="C72" s="105">
        <f ca="1"/>
        <v>0</v>
      </c>
      <c r="D72" s="105">
        <f ca="1"/>
        <v>0</v>
      </c>
      <c r="E72" s="105">
        <f ca="1"/>
        <v>0</v>
      </c>
      <c r="F72" s="105">
        <f ca="1"/>
        <v>0</v>
      </c>
      <c r="G72" s="105">
        <f ca="1"/>
        <v>0</v>
      </c>
      <c r="I72"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c>
      <c r="O72" s="60">
        <f>SUM(budgetMilestone1[[#This Row],[Milestone 1]:[Final]])</f>
        <v>0</v>
      </c>
      <c r="P72" s="60">
        <f>ROW()-ROW(budgetMilestone1[#Headers])</f>
        <v>55</v>
      </c>
      <c r="Q72" s="60">
        <f>IF(budgetMilestone1[row] &lt;= numCategories +3, budgetMilestone1[row]-1, MOD(budgetMilestone1[row]-1,numCategories+3) + IF(MOD(budgetMilestone1[row]-2,numCategories+2)&gt;numCategories+1, 1,0))</f>
        <v>10</v>
      </c>
      <c r="R72" s="60">
        <f>IFERROR(INDEX(directors[Last],MAX(1,FLOOR((budgetMilestone1[row]-1)/(numCategories+3)+1,1))),1)</f>
        <v>0</v>
      </c>
    </row>
    <row r="73" spans="1:18" ht="15" customHeight="1" x14ac:dyDescent="0.25">
      <c r="A73" s="105" t="str">
        <f ca="1"/>
        <v xml:space="preserve">0 / </v>
      </c>
      <c r="B73" s="105">
        <f ca="1"/>
        <v>0</v>
      </c>
      <c r="C73" s="105">
        <f ca="1"/>
        <v>0</v>
      </c>
      <c r="D73" s="105">
        <f ca="1"/>
        <v>0</v>
      </c>
      <c r="E73" s="105">
        <f ca="1"/>
        <v>0</v>
      </c>
      <c r="F73" s="105">
        <f ca="1"/>
        <v>0</v>
      </c>
      <c r="G73" s="105">
        <f ca="1"/>
        <v>0</v>
      </c>
      <c r="I73"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xml:space="preserve">0 / </v>
      </c>
      <c r="O73" s="60">
        <f>SUM(budgetMilestone1[[#This Row],[Milestone 1]:[Final]])</f>
        <v>0</v>
      </c>
      <c r="P73" s="60">
        <f>ROW()-ROW(budgetMilestone1[#Headers])</f>
        <v>56</v>
      </c>
      <c r="Q73" s="60">
        <f>IF(budgetMilestone1[row] &lt;= numCategories +3, budgetMilestone1[row]-1, MOD(budgetMilestone1[row]-1,numCategories+3) + IF(MOD(budgetMilestone1[row]-2,numCategories+2)&gt;numCategories+1, 1,0))</f>
        <v>0</v>
      </c>
      <c r="R73" s="60">
        <f>IFERROR(INDEX(directors[Last],MAX(1,FLOOR((budgetMilestone1[row]-1)/(numCategories+3)+1,1))),1)</f>
        <v>0</v>
      </c>
    </row>
    <row r="74" spans="1:18" ht="15" customHeight="1" x14ac:dyDescent="0.25">
      <c r="A74" s="105" t="str">
        <f ca="1"/>
        <v>Equipment</v>
      </c>
      <c r="B74" s="105">
        <f ca="1"/>
        <v>0</v>
      </c>
      <c r="C74" s="105">
        <f ca="1"/>
        <v>0</v>
      </c>
      <c r="D74" s="105">
        <f ca="1"/>
        <v>0</v>
      </c>
      <c r="E74" s="105">
        <f ca="1"/>
        <v>0</v>
      </c>
      <c r="F74" s="105">
        <f ca="1"/>
        <v>0</v>
      </c>
      <c r="G74" s="105">
        <f ca="1"/>
        <v>0</v>
      </c>
      <c r="I74"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Equipment</v>
      </c>
      <c r="J74" s="60">
        <f>SUMIFS(ARF[Amount in Euro], ARF[Co Director],budgetMilestone1[director], ARF[Category], budgetMilestone1[Category], ARF[Date], "&gt;" &amp; cleanDateKickoff,ARF[Date], "&lt;=" &amp; cleanDateMilestone1)</f>
        <v>0</v>
      </c>
      <c r="K74" s="85">
        <f ca="1">'Milestone 1'!$C74</f>
        <v>0</v>
      </c>
      <c r="L74" s="85">
        <f ca="1">'Milestone 1'!$D74</f>
        <v>0</v>
      </c>
      <c r="M74" s="85">
        <f ca="1">'Milestone 1'!$E74</f>
        <v>0</v>
      </c>
      <c r="N74" s="85">
        <f ca="1">'Milestone 1'!$F74</f>
        <v>0</v>
      </c>
      <c r="O74" s="60">
        <f ca="1">SUM(budgetMilestone1[[#This Row],[Milestone 1]:[Final]])</f>
        <v>0</v>
      </c>
      <c r="P74" s="60">
        <f>ROW()-ROW(budgetMilestone1[#Headers])</f>
        <v>57</v>
      </c>
      <c r="Q74" s="60">
        <f>IF(budgetMilestone1[row] &lt;= numCategories +3, budgetMilestone1[row]-1, MOD(budgetMilestone1[row]-1,numCategories+3) + IF(MOD(budgetMilestone1[row]-2,numCategories+2)&gt;numCategories+1, 1,0))</f>
        <v>1</v>
      </c>
      <c r="R74" s="60">
        <f>IFERROR(INDEX(directors[Last],MAX(1,FLOOR((budgetMilestone1[row]-1)/(numCategories+3)+1,1))),1)</f>
        <v>0</v>
      </c>
    </row>
    <row r="75" spans="1:18" ht="15" customHeight="1" x14ac:dyDescent="0.25">
      <c r="A75" s="105" t="str">
        <f ca="1"/>
        <v>Training</v>
      </c>
      <c r="B75" s="105">
        <f ca="1"/>
        <v>0</v>
      </c>
      <c r="C75" s="105">
        <f ca="1"/>
        <v>0</v>
      </c>
      <c r="D75" s="105">
        <f ca="1"/>
        <v>0</v>
      </c>
      <c r="E75" s="105">
        <f ca="1"/>
        <v>0</v>
      </c>
      <c r="F75" s="105">
        <f ca="1"/>
        <v>0</v>
      </c>
      <c r="G75" s="105">
        <f ca="1"/>
        <v>0</v>
      </c>
      <c r="I75"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Training</v>
      </c>
      <c r="J75" s="60">
        <f>SUMIFS(ARF[Amount in Euro], ARF[Co Director],budgetMilestone1[director], ARF[Category], budgetMilestone1[Category], ARF[Date], "&gt;" &amp; cleanDateKickoff,ARF[Date], "&lt;=" &amp; cleanDateMilestone1)</f>
        <v>0</v>
      </c>
      <c r="K75" s="85">
        <f ca="1">'Milestone 1'!$C75</f>
        <v>0</v>
      </c>
      <c r="L75" s="85">
        <f ca="1">'Milestone 1'!$D75</f>
        <v>0</v>
      </c>
      <c r="M75" s="85">
        <f ca="1">'Milestone 1'!$E75</f>
        <v>0</v>
      </c>
      <c r="N75" s="85">
        <f ca="1">'Milestone 1'!$F75</f>
        <v>0</v>
      </c>
      <c r="O75" s="60">
        <f ca="1">SUM(budgetMilestone1[[#This Row],[Milestone 1]:[Final]])</f>
        <v>0</v>
      </c>
      <c r="P75" s="60">
        <f>ROW()-ROW(budgetMilestone1[#Headers])</f>
        <v>58</v>
      </c>
      <c r="Q75" s="60">
        <f>IF(budgetMilestone1[row] &lt;= numCategories +3, budgetMilestone1[row]-1, MOD(budgetMilestone1[row]-1,numCategories+3) + IF(MOD(budgetMilestone1[row]-2,numCategories+2)&gt;numCategories+1, 1,0))</f>
        <v>2</v>
      </c>
      <c r="R75" s="60">
        <f>IFERROR(INDEX(directors[Last],MAX(1,FLOOR((budgetMilestone1[row]-1)/(numCategories+3)+1,1))),1)</f>
        <v>0</v>
      </c>
    </row>
    <row r="76" spans="1:18" ht="15" customHeight="1" x14ac:dyDescent="0.25">
      <c r="A76" s="105" t="str">
        <f ca="1"/>
        <v>Communication &amp; Publication</v>
      </c>
      <c r="B76" s="105">
        <f ca="1"/>
        <v>0</v>
      </c>
      <c r="C76" s="105">
        <f ca="1"/>
        <v>0</v>
      </c>
      <c r="D76" s="105">
        <f ca="1"/>
        <v>0</v>
      </c>
      <c r="E76" s="105">
        <f ca="1"/>
        <v>0</v>
      </c>
      <c r="F76" s="105">
        <f ca="1"/>
        <v>0</v>
      </c>
      <c r="G76" s="105">
        <f ca="1"/>
        <v>0</v>
      </c>
      <c r="I76"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Communication &amp; Publication</v>
      </c>
      <c r="J76" s="60">
        <f>SUMIFS(ARF[Amount in Euro], ARF[Co Director],budgetMilestone1[director], ARF[Category], budgetMilestone1[Category], ARF[Date], "&gt;" &amp; cleanDateKickoff,ARF[Date], "&lt;=" &amp; cleanDateMilestone1)</f>
        <v>0</v>
      </c>
      <c r="K76" s="85">
        <f ca="1">'Milestone 1'!$C76</f>
        <v>0</v>
      </c>
      <c r="L76" s="85">
        <f ca="1">'Milestone 1'!$D76</f>
        <v>0</v>
      </c>
      <c r="M76" s="85">
        <f ca="1">'Milestone 1'!$E76</f>
        <v>0</v>
      </c>
      <c r="N76" s="85">
        <f ca="1">'Milestone 1'!$F76</f>
        <v>0</v>
      </c>
      <c r="O76" s="60">
        <f ca="1">SUM(budgetMilestone1[[#This Row],[Milestone 1]:[Final]])</f>
        <v>0</v>
      </c>
      <c r="P76" s="60">
        <f>ROW()-ROW(budgetMilestone1[#Headers])</f>
        <v>59</v>
      </c>
      <c r="Q76" s="60">
        <f>IF(budgetMilestone1[row] &lt;= numCategories +3, budgetMilestone1[row]-1, MOD(budgetMilestone1[row]-1,numCategories+3) + IF(MOD(budgetMilestone1[row]-2,numCategories+2)&gt;numCategories+1, 1,0))</f>
        <v>3</v>
      </c>
      <c r="R76" s="60">
        <f>IFERROR(INDEX(directors[Last],MAX(1,FLOOR((budgetMilestone1[row]-1)/(numCategories+3)+1,1))),1)</f>
        <v>0</v>
      </c>
    </row>
    <row r="77" spans="1:18" ht="15" customHeight="1" x14ac:dyDescent="0.25">
      <c r="A77" s="105" t="str">
        <f ca="1"/>
        <v>Travel</v>
      </c>
      <c r="B77" s="105">
        <f ca="1"/>
        <v>0</v>
      </c>
      <c r="C77" s="105">
        <f ca="1"/>
        <v>0</v>
      </c>
      <c r="D77" s="105">
        <f ca="1"/>
        <v>0</v>
      </c>
      <c r="E77" s="105">
        <f ca="1"/>
        <v>0</v>
      </c>
      <c r="F77" s="105">
        <f ca="1"/>
        <v>0</v>
      </c>
      <c r="G77" s="105">
        <f ca="1"/>
        <v>0</v>
      </c>
      <c r="I77"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Travel</v>
      </c>
      <c r="J77" s="60">
        <f>SUMIFS(ARF[Amount in Euro], ARF[Co Director],budgetMilestone1[director], ARF[Category], budgetMilestone1[Category], ARF[Date], "&gt;" &amp; cleanDateKickoff,ARF[Date], "&lt;=" &amp; cleanDateMilestone1)</f>
        <v>0</v>
      </c>
      <c r="K77" s="85">
        <f ca="1">'Milestone 1'!$C77</f>
        <v>0</v>
      </c>
      <c r="L77" s="85">
        <f ca="1">'Milestone 1'!$D77</f>
        <v>0</v>
      </c>
      <c r="M77" s="85">
        <f ca="1">'Milestone 1'!$E77</f>
        <v>0</v>
      </c>
      <c r="N77" s="85">
        <f ca="1">'Milestone 1'!$F77</f>
        <v>0</v>
      </c>
      <c r="O77" s="60">
        <f ca="1">SUM(budgetMilestone1[[#This Row],[Milestone 1]:[Final]])</f>
        <v>0</v>
      </c>
      <c r="P77" s="60">
        <f>ROW()-ROW(budgetMilestone1[#Headers])</f>
        <v>60</v>
      </c>
      <c r="Q77" s="60">
        <f>IF(budgetMilestone1[row] &lt;= numCategories +3, budgetMilestone1[row]-1, MOD(budgetMilestone1[row]-1,numCategories+3) + IF(MOD(budgetMilestone1[row]-2,numCategories+2)&gt;numCategories+1, 1,0))</f>
        <v>4</v>
      </c>
      <c r="R77" s="60">
        <f>IFERROR(INDEX(directors[Last],MAX(1,FLOOR((budgetMilestone1[row]-1)/(numCategories+3)+1,1))),1)</f>
        <v>0</v>
      </c>
    </row>
    <row r="78" spans="1:18" ht="15" customHeight="1" x14ac:dyDescent="0.25">
      <c r="A78" s="105" t="str">
        <f ca="1"/>
        <v>Consumables</v>
      </c>
      <c r="B78" s="105">
        <f ca="1"/>
        <v>0</v>
      </c>
      <c r="C78" s="105">
        <f ca="1"/>
        <v>0</v>
      </c>
      <c r="D78" s="105">
        <f ca="1"/>
        <v>0</v>
      </c>
      <c r="E78" s="105">
        <f ca="1"/>
        <v>0</v>
      </c>
      <c r="F78" s="105">
        <f ca="1"/>
        <v>0</v>
      </c>
      <c r="G78" s="105">
        <f ca="1"/>
        <v>0</v>
      </c>
      <c r="I78"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Consumables</v>
      </c>
      <c r="J78" s="60">
        <f>SUMIFS(ARF[Amount in Euro], ARF[Co Director],budgetMilestone1[director], ARF[Category], budgetMilestone1[Category], ARF[Date], "&gt;" &amp; cleanDateKickoff,ARF[Date], "&lt;=" &amp; cleanDateMilestone1)</f>
        <v>0</v>
      </c>
      <c r="K78" s="85">
        <f ca="1">'Milestone 1'!$C78</f>
        <v>0</v>
      </c>
      <c r="L78" s="85">
        <f ca="1">'Milestone 1'!$D78</f>
        <v>0</v>
      </c>
      <c r="M78" s="85">
        <f ca="1">'Milestone 1'!$E78</f>
        <v>0</v>
      </c>
      <c r="N78" s="85">
        <f ca="1">'Milestone 1'!$F78</f>
        <v>0</v>
      </c>
      <c r="O78" s="60">
        <f ca="1">SUM(budgetMilestone1[[#This Row],[Milestone 1]:[Final]])</f>
        <v>0</v>
      </c>
      <c r="P78" s="60">
        <f>ROW()-ROW(budgetMilestone1[#Headers])</f>
        <v>61</v>
      </c>
      <c r="Q78" s="60">
        <f>IF(budgetMilestone1[row] &lt;= numCategories +3, budgetMilestone1[row]-1, MOD(budgetMilestone1[row]-1,numCategories+3) + IF(MOD(budgetMilestone1[row]-2,numCategories+2)&gt;numCategories+1, 1,0))</f>
        <v>5</v>
      </c>
      <c r="R78" s="60">
        <f>IFERROR(INDEX(directors[Last],MAX(1,FLOOR((budgetMilestone1[row]-1)/(numCategories+3)+1,1))),1)</f>
        <v>0</v>
      </c>
    </row>
    <row r="79" spans="1:18" ht="15" customHeight="1" x14ac:dyDescent="0.25">
      <c r="A79" s="105" t="str">
        <f ca="1"/>
        <v>Other</v>
      </c>
      <c r="B79" s="105">
        <f ca="1"/>
        <v>0</v>
      </c>
      <c r="C79" s="105">
        <f ca="1"/>
        <v>0</v>
      </c>
      <c r="D79" s="105">
        <f ca="1"/>
        <v>0</v>
      </c>
      <c r="E79" s="105">
        <f ca="1"/>
        <v>0</v>
      </c>
      <c r="F79" s="105">
        <f ca="1"/>
        <v>0</v>
      </c>
      <c r="G79" s="105">
        <f ca="1"/>
        <v>0</v>
      </c>
      <c r="I79"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Other</v>
      </c>
      <c r="J79" s="60">
        <f>SUMIFS(ARF[Amount in Euro], ARF[Co Director],budgetMilestone1[director], ARF[Category], budgetMilestone1[Category], ARF[Date], "&gt;" &amp; cleanDateKickoff,ARF[Date], "&lt;=" &amp; cleanDateMilestone1)</f>
        <v>0</v>
      </c>
      <c r="K79" s="85">
        <f ca="1">'Milestone 1'!$C79</f>
        <v>0</v>
      </c>
      <c r="L79" s="85">
        <f ca="1">'Milestone 1'!$D79</f>
        <v>0</v>
      </c>
      <c r="M79" s="85">
        <f ca="1">'Milestone 1'!$E79</f>
        <v>0</v>
      </c>
      <c r="N79" s="85">
        <f ca="1">'Milestone 1'!$F79</f>
        <v>0</v>
      </c>
      <c r="O79" s="60">
        <f ca="1">SUM(budgetMilestone1[[#This Row],[Milestone 1]:[Final]])</f>
        <v>0</v>
      </c>
      <c r="P79" s="60">
        <f>ROW()-ROW(budgetMilestone1[#Headers])</f>
        <v>62</v>
      </c>
      <c r="Q79" s="60">
        <f>IF(budgetMilestone1[row] &lt;= numCategories +3, budgetMilestone1[row]-1, MOD(budgetMilestone1[row]-1,numCategories+3) + IF(MOD(budgetMilestone1[row]-2,numCategories+2)&gt;numCategories+1, 1,0))</f>
        <v>6</v>
      </c>
      <c r="R79" s="60">
        <f>IFERROR(INDEX(directors[Last],MAX(1,FLOOR((budgetMilestone1[row]-1)/(numCategories+3)+1,1))),1)</f>
        <v>0</v>
      </c>
    </row>
    <row r="80" spans="1:18" ht="15" customHeight="1" x14ac:dyDescent="0.25">
      <c r="A80" s="105" t="str">
        <f ca="1"/>
        <v>Stipends</v>
      </c>
      <c r="B80" s="105">
        <f ca="1"/>
        <v>0</v>
      </c>
      <c r="C80" s="105">
        <f ca="1"/>
        <v>0</v>
      </c>
      <c r="D80" s="105">
        <f ca="1"/>
        <v>0</v>
      </c>
      <c r="E80" s="105">
        <f ca="1"/>
        <v>0</v>
      </c>
      <c r="F80" s="105">
        <f ca="1"/>
        <v>0</v>
      </c>
      <c r="G80" s="105">
        <f ca="1"/>
        <v>0</v>
      </c>
      <c r="I80"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Stipends</v>
      </c>
      <c r="J80" s="60">
        <f>SUMIFS(ARF[Amount in Euro], ARF[Co Director],budgetMilestone1[director], ARF[Category], budgetMilestone1[Category], ARF[Date], "&gt;" &amp; cleanDateKickoff,ARF[Date], "&lt;=" &amp; cleanDateMilestone1)</f>
        <v>0</v>
      </c>
      <c r="K80" s="85">
        <f ca="1">'Milestone 1'!$C80</f>
        <v>0</v>
      </c>
      <c r="L80" s="85">
        <f ca="1">'Milestone 1'!$D80</f>
        <v>0</v>
      </c>
      <c r="M80" s="85">
        <f ca="1">'Milestone 1'!$E80</f>
        <v>0</v>
      </c>
      <c r="N80" s="85">
        <f ca="1">'Milestone 1'!$F80</f>
        <v>0</v>
      </c>
      <c r="O80" s="60">
        <f ca="1">SUM(budgetMilestone1[[#This Row],[Milestone 1]:[Final]])</f>
        <v>0</v>
      </c>
      <c r="P80" s="60">
        <f>ROW()-ROW(budgetMilestone1[#Headers])</f>
        <v>63</v>
      </c>
      <c r="Q80" s="60">
        <f>IF(budgetMilestone1[row] &lt;= numCategories +3, budgetMilestone1[row]-1, MOD(budgetMilestone1[row]-1,numCategories+3) + IF(MOD(budgetMilestone1[row]-2,numCategories+2)&gt;numCategories+1, 1,0))</f>
        <v>7</v>
      </c>
      <c r="R80" s="60">
        <f>IFERROR(INDEX(directors[Last],MAX(1,FLOOR((budgetMilestone1[row]-1)/(numCategories+3)+1,1))),1)</f>
        <v>0</v>
      </c>
    </row>
    <row r="81" spans="1:18" ht="15" customHeight="1" x14ac:dyDescent="0.25">
      <c r="A81" s="105" t="str">
        <f ca="1"/>
        <v>Co-financing of personnel</v>
      </c>
      <c r="B81" s="105">
        <f ca="1"/>
        <v>0</v>
      </c>
      <c r="C81" s="105">
        <f ca="1"/>
        <v>0</v>
      </c>
      <c r="D81" s="105">
        <f ca="1"/>
        <v>0</v>
      </c>
      <c r="E81" s="105">
        <f ca="1"/>
        <v>0</v>
      </c>
      <c r="F81" s="105">
        <f ca="1"/>
        <v>0</v>
      </c>
      <c r="G81" s="105">
        <f ca="1"/>
        <v>0</v>
      </c>
      <c r="I81"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Co-financing of personnel</v>
      </c>
      <c r="J81" s="60">
        <f>SUMIFS(ARF[Amount in Euro], ARF[Co Director],budgetMilestone1[director], ARF[Category], budgetMilestone1[Category], ARF[Date], "&gt;" &amp; cleanDateKickoff,ARF[Date], "&lt;=" &amp; cleanDateMilestone1)</f>
        <v>0</v>
      </c>
      <c r="K81" s="85">
        <f ca="1">'Milestone 1'!$C81</f>
        <v>0</v>
      </c>
      <c r="L81" s="85">
        <f ca="1">'Milestone 1'!$D81</f>
        <v>0</v>
      </c>
      <c r="M81" s="85">
        <f ca="1">'Milestone 1'!$E81</f>
        <v>0</v>
      </c>
      <c r="N81" s="85">
        <f ca="1">'Milestone 1'!$F81</f>
        <v>0</v>
      </c>
      <c r="O81" s="60">
        <f ca="1">SUM(budgetMilestone1[[#This Row],[Milestone 1]:[Final]])</f>
        <v>0</v>
      </c>
      <c r="P81" s="60">
        <f>ROW()-ROW(budgetMilestone1[#Headers])</f>
        <v>64</v>
      </c>
      <c r="Q81" s="60">
        <f>IF(budgetMilestone1[row] &lt;= numCategories +3, budgetMilestone1[row]-1, MOD(budgetMilestone1[row]-1,numCategories+3) + IF(MOD(budgetMilestone1[row]-2,numCategories+2)&gt;numCategories+1, 1,0))</f>
        <v>8</v>
      </c>
      <c r="R81" s="60">
        <f>IFERROR(INDEX(directors[Last],MAX(1,FLOOR((budgetMilestone1[row]-1)/(numCategories+3)+1,1))),1)</f>
        <v>0</v>
      </c>
    </row>
    <row r="82" spans="1:18" ht="15" customHeight="1" x14ac:dyDescent="0.25">
      <c r="A82" s="105" t="str">
        <f ca="1"/>
        <v>Subtotal 0</v>
      </c>
      <c r="B82" s="105">
        <f ca="1"/>
        <v>0</v>
      </c>
      <c r="C82" s="105">
        <f ca="1"/>
        <v>0</v>
      </c>
      <c r="D82" s="105">
        <f ca="1"/>
        <v>0</v>
      </c>
      <c r="E82" s="105">
        <f ca="1"/>
        <v>0</v>
      </c>
      <c r="F82" s="105">
        <f ca="1"/>
        <v>0</v>
      </c>
      <c r="G82" s="105">
        <f ca="1"/>
        <v>0</v>
      </c>
      <c r="I82"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Subtotal 0</v>
      </c>
      <c r="J82" s="60">
        <f t="shared" ref="J82" si="5">SUBTOTAL(9,J74:J81)</f>
        <v>0</v>
      </c>
      <c r="K82" s="60">
        <f t="shared" ca="1" si="3"/>
        <v>0</v>
      </c>
      <c r="L82" s="60">
        <f t="shared" ca="1" si="3"/>
        <v>0</v>
      </c>
      <c r="M82" s="60">
        <f t="shared" ca="1" si="3"/>
        <v>0</v>
      </c>
      <c r="N82" s="60">
        <f t="shared" ca="1" si="3"/>
        <v>0</v>
      </c>
      <c r="O82" s="60">
        <f t="shared" ca="1" si="3"/>
        <v>0</v>
      </c>
      <c r="P82" s="60">
        <f>ROW()-ROW(budgetMilestone1[#Headers])</f>
        <v>65</v>
      </c>
      <c r="Q82" s="60">
        <f>IF(budgetMilestone1[row] &lt;= numCategories +3, budgetMilestone1[row]-1, MOD(budgetMilestone1[row]-1,numCategories+3) + IF(MOD(budgetMilestone1[row]-2,numCategories+2)&gt;numCategories+1, 1,0))</f>
        <v>9</v>
      </c>
      <c r="R82" s="60">
        <f>IFERROR(INDEX(directors[Last],MAX(1,FLOOR((budgetMilestone1[row]-1)/(numCategories+3)+1,1))),1)</f>
        <v>0</v>
      </c>
    </row>
    <row r="83" spans="1:18" ht="15" customHeight="1" x14ac:dyDescent="0.25">
      <c r="A83" s="105" t="str">
        <f ca="1"/>
        <v/>
      </c>
      <c r="B83" s="105">
        <f ca="1"/>
        <v>0</v>
      </c>
      <c r="C83" s="105">
        <f ca="1"/>
        <v>0</v>
      </c>
      <c r="D83" s="105">
        <f ca="1"/>
        <v>0</v>
      </c>
      <c r="E83" s="105">
        <f ca="1"/>
        <v>0</v>
      </c>
      <c r="F83" s="105">
        <f ca="1"/>
        <v>0</v>
      </c>
      <c r="G83" s="105">
        <f ca="1"/>
        <v>0</v>
      </c>
      <c r="I83"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c>
      <c r="O83" s="60">
        <f>SUM(budgetMilestone1[[#This Row],[Milestone 1]:[Final]])</f>
        <v>0</v>
      </c>
      <c r="P83" s="60">
        <f>ROW()-ROW(budgetMilestone1[#Headers])</f>
        <v>66</v>
      </c>
      <c r="Q83" s="60">
        <f>IF(budgetMilestone1[row] &lt;= numCategories +3, budgetMilestone1[row]-1, MOD(budgetMilestone1[row]-1,numCategories+3) + IF(MOD(budgetMilestone1[row]-2,numCategories+2)&gt;numCategories+1, 1,0))</f>
        <v>10</v>
      </c>
      <c r="R83" s="60">
        <f>IFERROR(INDEX(directors[Last],MAX(1,FLOOR((budgetMilestone1[row]-1)/(numCategories+3)+1,1))),1)</f>
        <v>0</v>
      </c>
    </row>
    <row r="84" spans="1:18" ht="15" customHeight="1" x14ac:dyDescent="0.25">
      <c r="A84" s="105" t="str">
        <f ca="1"/>
        <v xml:space="preserve">0 / </v>
      </c>
      <c r="B84" s="105">
        <f ca="1"/>
        <v>0</v>
      </c>
      <c r="C84" s="105">
        <f ca="1"/>
        <v>0</v>
      </c>
      <c r="D84" s="105">
        <f ca="1"/>
        <v>0</v>
      </c>
      <c r="E84" s="105">
        <f ca="1"/>
        <v>0</v>
      </c>
      <c r="F84" s="105">
        <f ca="1"/>
        <v>0</v>
      </c>
      <c r="G84" s="105">
        <f ca="1"/>
        <v>0</v>
      </c>
      <c r="I84"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xml:space="preserve">0 / </v>
      </c>
      <c r="K84" s="85"/>
      <c r="L84" s="85"/>
      <c r="M84" s="85"/>
      <c r="N84" s="85"/>
      <c r="P84" s="60">
        <f>ROW()-ROW(budgetMilestone1[#Headers])</f>
        <v>67</v>
      </c>
      <c r="Q84" s="60">
        <f>IF(budgetMilestone1[row] &lt;= numCategories +3, budgetMilestone1[row]-1, MOD(budgetMilestone1[row]-1,numCategories+3) + IF(MOD(budgetMilestone1[row]-2,numCategories+2)&gt;numCategories+1, 1,0))</f>
        <v>0</v>
      </c>
      <c r="R84" s="60">
        <f>IFERROR(INDEX(directors[Last],MAX(1,FLOOR((budgetMilestone1[row]-1)/(numCategories+3)+1,1))),1)</f>
        <v>0</v>
      </c>
    </row>
    <row r="85" spans="1:18" ht="15" customHeight="1" x14ac:dyDescent="0.25">
      <c r="A85" s="105" t="str">
        <f ca="1"/>
        <v>Equipment</v>
      </c>
      <c r="B85" s="105">
        <f ca="1"/>
        <v>0</v>
      </c>
      <c r="C85" s="105">
        <f ca="1"/>
        <v>0</v>
      </c>
      <c r="D85" s="105">
        <f ca="1"/>
        <v>0</v>
      </c>
      <c r="E85" s="105">
        <f ca="1"/>
        <v>0</v>
      </c>
      <c r="F85" s="105">
        <f ca="1"/>
        <v>0</v>
      </c>
      <c r="G85" s="105">
        <f ca="1"/>
        <v>0</v>
      </c>
      <c r="I85"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Equipment</v>
      </c>
      <c r="J85" s="60">
        <f>SUMIFS(ARF[Amount in Euro], ARF[Co Director],budgetMilestone1[director], ARF[Category], budgetMilestone1[Category], ARF[Date], "&gt;" &amp; cleanDateKickoff,ARF[Date], "&lt;=" &amp; cleanDateMilestone1)</f>
        <v>0</v>
      </c>
      <c r="K85" s="85">
        <f ca="1">'Milestone 1'!$C85</f>
        <v>0</v>
      </c>
      <c r="L85" s="85">
        <f ca="1">'Milestone 1'!$D85</f>
        <v>0</v>
      </c>
      <c r="M85" s="85">
        <f ca="1">'Milestone 1'!$E85</f>
        <v>0</v>
      </c>
      <c r="N85" s="85">
        <f ca="1">'Milestone 1'!$F85</f>
        <v>0</v>
      </c>
      <c r="O85" s="60">
        <f ca="1">SUM(budgetMilestone1[[#This Row],[Milestone 1]:[Final]])</f>
        <v>0</v>
      </c>
      <c r="P85" s="60">
        <f>ROW()-ROW(budgetMilestone1[#Headers])</f>
        <v>68</v>
      </c>
      <c r="Q85" s="60">
        <f>IF(budgetMilestone1[row] &lt;= numCategories +3, budgetMilestone1[row]-1, MOD(budgetMilestone1[row]-1,numCategories+3) + IF(MOD(budgetMilestone1[row]-2,numCategories+2)&gt;numCategories+1, 1,0))</f>
        <v>1</v>
      </c>
      <c r="R85" s="60">
        <f>IFERROR(INDEX(directors[Last],MAX(1,FLOOR((budgetMilestone1[row]-1)/(numCategories+3)+1,1))),1)</f>
        <v>0</v>
      </c>
    </row>
    <row r="86" spans="1:18" ht="15" customHeight="1" x14ac:dyDescent="0.25">
      <c r="A86" s="105" t="str">
        <f ca="1"/>
        <v>Training</v>
      </c>
      <c r="B86" s="105">
        <f ca="1"/>
        <v>0</v>
      </c>
      <c r="C86" s="105">
        <f ca="1"/>
        <v>0</v>
      </c>
      <c r="D86" s="105">
        <f ca="1"/>
        <v>0</v>
      </c>
      <c r="E86" s="105">
        <f ca="1"/>
        <v>0</v>
      </c>
      <c r="F86" s="105">
        <f ca="1"/>
        <v>0</v>
      </c>
      <c r="G86" s="105">
        <f ca="1"/>
        <v>0</v>
      </c>
      <c r="I86"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Training</v>
      </c>
      <c r="J86" s="60">
        <f>SUMIFS(ARF[Amount in Euro], ARF[Co Director],budgetMilestone1[director], ARF[Category], budgetMilestone1[Category], ARF[Date], "&gt;" &amp; cleanDateKickoff,ARF[Date], "&lt;=" &amp; cleanDateMilestone1)</f>
        <v>0</v>
      </c>
      <c r="K86" s="85">
        <f ca="1">'Milestone 1'!$C86</f>
        <v>0</v>
      </c>
      <c r="L86" s="85">
        <f ca="1">'Milestone 1'!$D86</f>
        <v>0</v>
      </c>
      <c r="M86" s="85">
        <f ca="1">'Milestone 1'!$E86</f>
        <v>0</v>
      </c>
      <c r="N86" s="85">
        <f ca="1">'Milestone 1'!$F86</f>
        <v>0</v>
      </c>
      <c r="O86" s="60">
        <f ca="1">SUM(budgetMilestone1[[#This Row],[Milestone 1]:[Final]])</f>
        <v>0</v>
      </c>
      <c r="P86" s="60">
        <f>ROW()-ROW(budgetMilestone1[#Headers])</f>
        <v>69</v>
      </c>
      <c r="Q86" s="60">
        <f>IF(budgetMilestone1[row] &lt;= numCategories +3, budgetMilestone1[row]-1, MOD(budgetMilestone1[row]-1,numCategories+3) + IF(MOD(budgetMilestone1[row]-2,numCategories+2)&gt;numCategories+1, 1,0))</f>
        <v>2</v>
      </c>
      <c r="R86" s="60">
        <f>IFERROR(INDEX(directors[Last],MAX(1,FLOOR((budgetMilestone1[row]-1)/(numCategories+3)+1,1))),1)</f>
        <v>0</v>
      </c>
    </row>
    <row r="87" spans="1:18" ht="15" customHeight="1" x14ac:dyDescent="0.25">
      <c r="A87" s="105" t="str">
        <f ca="1"/>
        <v>Communication &amp; Publication</v>
      </c>
      <c r="B87" s="105">
        <f ca="1"/>
        <v>0</v>
      </c>
      <c r="C87" s="105">
        <f ca="1"/>
        <v>0</v>
      </c>
      <c r="D87" s="105">
        <f ca="1"/>
        <v>0</v>
      </c>
      <c r="E87" s="105">
        <f ca="1"/>
        <v>0</v>
      </c>
      <c r="F87" s="105">
        <f ca="1"/>
        <v>0</v>
      </c>
      <c r="G87" s="105">
        <f ca="1"/>
        <v>0</v>
      </c>
      <c r="I87"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Communication &amp; Publication</v>
      </c>
      <c r="J87" s="60">
        <f>SUMIFS(ARF[Amount in Euro], ARF[Co Director],budgetMilestone1[director], ARF[Category], budgetMilestone1[Category], ARF[Date], "&gt;" &amp; cleanDateKickoff,ARF[Date], "&lt;=" &amp; cleanDateMilestone1)</f>
        <v>0</v>
      </c>
      <c r="K87" s="85">
        <f ca="1">'Milestone 1'!$C87</f>
        <v>0</v>
      </c>
      <c r="L87" s="85">
        <f ca="1">'Milestone 1'!$D87</f>
        <v>0</v>
      </c>
      <c r="M87" s="85">
        <f ca="1">'Milestone 1'!$E87</f>
        <v>0</v>
      </c>
      <c r="N87" s="85">
        <f ca="1">'Milestone 1'!$F87</f>
        <v>0</v>
      </c>
      <c r="O87" s="60">
        <f ca="1">SUM(budgetMilestone1[[#This Row],[Milestone 1]:[Final]])</f>
        <v>0</v>
      </c>
      <c r="P87" s="60">
        <f>ROW()-ROW(budgetMilestone1[#Headers])</f>
        <v>70</v>
      </c>
      <c r="Q87" s="60">
        <f>IF(budgetMilestone1[row] &lt;= numCategories +3, budgetMilestone1[row]-1, MOD(budgetMilestone1[row]-1,numCategories+3) + IF(MOD(budgetMilestone1[row]-2,numCategories+2)&gt;numCategories+1, 1,0))</f>
        <v>3</v>
      </c>
      <c r="R87" s="60">
        <f>IFERROR(INDEX(directors[Last],MAX(1,FLOOR((budgetMilestone1[row]-1)/(numCategories+3)+1,1))),1)</f>
        <v>0</v>
      </c>
    </row>
    <row r="88" spans="1:18" ht="15" customHeight="1" x14ac:dyDescent="0.25">
      <c r="A88" s="105" t="str">
        <f ca="1"/>
        <v>Travel</v>
      </c>
      <c r="B88" s="105">
        <f ca="1"/>
        <v>0</v>
      </c>
      <c r="C88" s="105">
        <f ca="1"/>
        <v>0</v>
      </c>
      <c r="D88" s="105">
        <f ca="1"/>
        <v>0</v>
      </c>
      <c r="E88" s="105">
        <f ca="1"/>
        <v>0</v>
      </c>
      <c r="F88" s="105">
        <f ca="1"/>
        <v>0</v>
      </c>
      <c r="G88" s="105">
        <f ca="1"/>
        <v>0</v>
      </c>
      <c r="I88"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Travel</v>
      </c>
      <c r="J88" s="60">
        <f>SUMIFS(ARF[Amount in Euro], ARF[Co Director],budgetMilestone1[director], ARF[Category], budgetMilestone1[Category], ARF[Date], "&gt;" &amp; cleanDateKickoff,ARF[Date], "&lt;=" &amp; cleanDateMilestone1)</f>
        <v>0</v>
      </c>
      <c r="K88" s="85">
        <f ca="1">'Milestone 1'!$C88</f>
        <v>0</v>
      </c>
      <c r="L88" s="85">
        <f ca="1">'Milestone 1'!$D88</f>
        <v>0</v>
      </c>
      <c r="M88" s="85">
        <f ca="1">'Milestone 1'!$E88</f>
        <v>0</v>
      </c>
      <c r="N88" s="85">
        <f ca="1">'Milestone 1'!$F88</f>
        <v>0</v>
      </c>
      <c r="O88" s="60">
        <f ca="1">SUM(budgetMilestone1[[#This Row],[Milestone 1]:[Final]])</f>
        <v>0</v>
      </c>
      <c r="P88" s="60">
        <f>ROW()-ROW(budgetMilestone1[#Headers])</f>
        <v>71</v>
      </c>
      <c r="Q88" s="60">
        <f>IF(budgetMilestone1[row] &lt;= numCategories +3, budgetMilestone1[row]-1, MOD(budgetMilestone1[row]-1,numCategories+3) + IF(MOD(budgetMilestone1[row]-2,numCategories+2)&gt;numCategories+1, 1,0))</f>
        <v>4</v>
      </c>
      <c r="R88" s="60">
        <f>IFERROR(INDEX(directors[Last],MAX(1,FLOOR((budgetMilestone1[row]-1)/(numCategories+3)+1,1))),1)</f>
        <v>0</v>
      </c>
    </row>
    <row r="89" spans="1:18" ht="15" customHeight="1" x14ac:dyDescent="0.25">
      <c r="A89" s="105" t="str">
        <f ca="1"/>
        <v>Consumables</v>
      </c>
      <c r="B89" s="105">
        <f ca="1"/>
        <v>0</v>
      </c>
      <c r="C89" s="105">
        <f ca="1"/>
        <v>0</v>
      </c>
      <c r="D89" s="105">
        <f ca="1"/>
        <v>0</v>
      </c>
      <c r="E89" s="105">
        <f ca="1"/>
        <v>0</v>
      </c>
      <c r="F89" s="105">
        <f ca="1"/>
        <v>0</v>
      </c>
      <c r="G89" s="105">
        <f ca="1"/>
        <v>0</v>
      </c>
      <c r="I89"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Consumables</v>
      </c>
      <c r="J89" s="60">
        <f>SUMIFS(ARF[Amount in Euro], ARF[Co Director],budgetMilestone1[director], ARF[Category], budgetMilestone1[Category], ARF[Date], "&gt;" &amp; cleanDateKickoff,ARF[Date], "&lt;=" &amp; cleanDateMilestone1)</f>
        <v>0</v>
      </c>
      <c r="K89" s="85">
        <f ca="1">'Milestone 1'!$C89</f>
        <v>0</v>
      </c>
      <c r="L89" s="85">
        <f ca="1">'Milestone 1'!$D89</f>
        <v>0</v>
      </c>
      <c r="M89" s="85">
        <f ca="1">'Milestone 1'!$E89</f>
        <v>0</v>
      </c>
      <c r="N89" s="85">
        <f ca="1">'Milestone 1'!$F89</f>
        <v>0</v>
      </c>
      <c r="O89" s="60">
        <f ca="1">SUM(budgetMilestone1[[#This Row],[Milestone 1]:[Final]])</f>
        <v>0</v>
      </c>
      <c r="P89" s="60">
        <f>ROW()-ROW(budgetMilestone1[#Headers])</f>
        <v>72</v>
      </c>
      <c r="Q89" s="60">
        <f>IF(budgetMilestone1[row] &lt;= numCategories +3, budgetMilestone1[row]-1, MOD(budgetMilestone1[row]-1,numCategories+3) + IF(MOD(budgetMilestone1[row]-2,numCategories+2)&gt;numCategories+1, 1,0))</f>
        <v>5</v>
      </c>
      <c r="R89" s="60">
        <f>IFERROR(INDEX(directors[Last],MAX(1,FLOOR((budgetMilestone1[row]-1)/(numCategories+3)+1,1))),1)</f>
        <v>0</v>
      </c>
    </row>
    <row r="90" spans="1:18" ht="15" customHeight="1" x14ac:dyDescent="0.25">
      <c r="A90" s="105" t="str">
        <f ca="1"/>
        <v>Other</v>
      </c>
      <c r="B90" s="105">
        <f ca="1"/>
        <v>0</v>
      </c>
      <c r="C90" s="105">
        <f ca="1"/>
        <v>0</v>
      </c>
      <c r="D90" s="105">
        <f ca="1"/>
        <v>0</v>
      </c>
      <c r="E90" s="105">
        <f ca="1"/>
        <v>0</v>
      </c>
      <c r="F90" s="105">
        <f ca="1"/>
        <v>0</v>
      </c>
      <c r="G90" s="105">
        <f ca="1"/>
        <v>0</v>
      </c>
      <c r="I90"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Other</v>
      </c>
      <c r="J90" s="60">
        <f>SUMIFS(ARF[Amount in Euro], ARF[Co Director],budgetMilestone1[director], ARF[Category], budgetMilestone1[Category], ARF[Date], "&gt;" &amp; cleanDateKickoff,ARF[Date], "&lt;=" &amp; cleanDateMilestone1)</f>
        <v>0</v>
      </c>
      <c r="K90" s="85">
        <f ca="1">'Milestone 1'!$C90</f>
        <v>0</v>
      </c>
      <c r="L90" s="85">
        <f ca="1">'Milestone 1'!$D90</f>
        <v>0</v>
      </c>
      <c r="M90" s="85">
        <f ca="1">'Milestone 1'!$E90</f>
        <v>0</v>
      </c>
      <c r="N90" s="85">
        <f ca="1">'Milestone 1'!$F90</f>
        <v>0</v>
      </c>
      <c r="O90" s="60">
        <f ca="1">SUM(budgetMilestone1[[#This Row],[Milestone 1]:[Final]])</f>
        <v>0</v>
      </c>
      <c r="P90" s="60">
        <f>ROW()-ROW(budgetMilestone1[#Headers])</f>
        <v>73</v>
      </c>
      <c r="Q90" s="60">
        <f>IF(budgetMilestone1[row] &lt;= numCategories +3, budgetMilestone1[row]-1, MOD(budgetMilestone1[row]-1,numCategories+3) + IF(MOD(budgetMilestone1[row]-2,numCategories+2)&gt;numCategories+1, 1,0))</f>
        <v>6</v>
      </c>
      <c r="R90" s="60">
        <f>IFERROR(INDEX(directors[Last],MAX(1,FLOOR((budgetMilestone1[row]-1)/(numCategories+3)+1,1))),1)</f>
        <v>0</v>
      </c>
    </row>
    <row r="91" spans="1:18" ht="15" customHeight="1" x14ac:dyDescent="0.25">
      <c r="A91" s="105" t="str">
        <f ca="1"/>
        <v>Stipends</v>
      </c>
      <c r="B91" s="105">
        <f ca="1"/>
        <v>0</v>
      </c>
      <c r="C91" s="105">
        <f ca="1"/>
        <v>0</v>
      </c>
      <c r="D91" s="105">
        <f ca="1"/>
        <v>0</v>
      </c>
      <c r="E91" s="105">
        <f ca="1"/>
        <v>0</v>
      </c>
      <c r="F91" s="105">
        <f ca="1"/>
        <v>0</v>
      </c>
      <c r="G91" s="105">
        <f ca="1"/>
        <v>0</v>
      </c>
      <c r="I91"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Stipends</v>
      </c>
      <c r="J91" s="60">
        <f>SUMIFS(ARF[Amount in Euro], ARF[Co Director],budgetMilestone1[director], ARF[Category], budgetMilestone1[Category], ARF[Date], "&gt;" &amp; cleanDateKickoff,ARF[Date], "&lt;=" &amp; cleanDateMilestone1)</f>
        <v>0</v>
      </c>
      <c r="K91" s="85">
        <f ca="1">'Milestone 1'!$C91</f>
        <v>0</v>
      </c>
      <c r="L91" s="85">
        <f ca="1">'Milestone 1'!$D91</f>
        <v>0</v>
      </c>
      <c r="M91" s="85">
        <f ca="1">'Milestone 1'!$E91</f>
        <v>0</v>
      </c>
      <c r="N91" s="85">
        <f ca="1">'Milestone 1'!$F91</f>
        <v>0</v>
      </c>
      <c r="O91" s="60">
        <f ca="1">SUM(budgetMilestone1[[#This Row],[Milestone 1]:[Final]])</f>
        <v>0</v>
      </c>
      <c r="P91" s="60">
        <f>ROW()-ROW(budgetMilestone1[#Headers])</f>
        <v>74</v>
      </c>
      <c r="Q91" s="60">
        <f>IF(budgetMilestone1[row] &lt;= numCategories +3, budgetMilestone1[row]-1, MOD(budgetMilestone1[row]-1,numCategories+3) + IF(MOD(budgetMilestone1[row]-2,numCategories+2)&gt;numCategories+1, 1,0))</f>
        <v>7</v>
      </c>
      <c r="R91" s="60">
        <f>IFERROR(INDEX(directors[Last],MAX(1,FLOOR((budgetMilestone1[row]-1)/(numCategories+3)+1,1))),1)</f>
        <v>0</v>
      </c>
    </row>
    <row r="92" spans="1:18" ht="15" customHeight="1" x14ac:dyDescent="0.25">
      <c r="A92" s="105" t="str">
        <f ca="1"/>
        <v>Co-financing of personnel</v>
      </c>
      <c r="B92" s="105">
        <f ca="1"/>
        <v>0</v>
      </c>
      <c r="C92" s="105">
        <f ca="1"/>
        <v>0</v>
      </c>
      <c r="D92" s="105">
        <f ca="1"/>
        <v>0</v>
      </c>
      <c r="E92" s="105">
        <f ca="1"/>
        <v>0</v>
      </c>
      <c r="F92" s="105">
        <f ca="1"/>
        <v>0</v>
      </c>
      <c r="G92" s="105">
        <f ca="1"/>
        <v>0</v>
      </c>
      <c r="I92"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Co-financing of personnel</v>
      </c>
      <c r="J92" s="60">
        <f>SUMIFS(ARF[Amount in Euro], ARF[Co Director],budgetMilestone1[director], ARF[Category], budgetMilestone1[Category], ARF[Date], "&gt;" &amp; cleanDateKickoff,ARF[Date], "&lt;=" &amp; cleanDateMilestone1)</f>
        <v>0</v>
      </c>
      <c r="K92" s="85">
        <f ca="1">'Milestone 1'!$C92</f>
        <v>0</v>
      </c>
      <c r="L92" s="85">
        <f ca="1">'Milestone 1'!$D92</f>
        <v>0</v>
      </c>
      <c r="M92" s="85">
        <f ca="1">'Milestone 1'!$E92</f>
        <v>0</v>
      </c>
      <c r="N92" s="85">
        <f ca="1">'Milestone 1'!$F92</f>
        <v>0</v>
      </c>
      <c r="O92" s="60">
        <f ca="1">SUM(budgetMilestone1[[#This Row],[Milestone 1]:[Final]])</f>
        <v>0</v>
      </c>
      <c r="P92" s="60">
        <f>ROW()-ROW(budgetMilestone1[#Headers])</f>
        <v>75</v>
      </c>
      <c r="Q92" s="60">
        <f>IF(budgetMilestone1[row] &lt;= numCategories +3, budgetMilestone1[row]-1, MOD(budgetMilestone1[row]-1,numCategories+3) + IF(MOD(budgetMilestone1[row]-2,numCategories+2)&gt;numCategories+1, 1,0))</f>
        <v>8</v>
      </c>
      <c r="R92" s="60">
        <f>IFERROR(INDEX(directors[Last],MAX(1,FLOOR((budgetMilestone1[row]-1)/(numCategories+3)+1,1))),1)</f>
        <v>0</v>
      </c>
    </row>
    <row r="93" spans="1:18" ht="15" customHeight="1" x14ac:dyDescent="0.25">
      <c r="A93" s="105" t="str">
        <f ca="1"/>
        <v>Subtotal 0</v>
      </c>
      <c r="B93" s="105">
        <f ca="1"/>
        <v>0</v>
      </c>
      <c r="C93" s="105">
        <f ca="1"/>
        <v>0</v>
      </c>
      <c r="D93" s="105">
        <f ca="1"/>
        <v>0</v>
      </c>
      <c r="E93" s="105">
        <f ca="1"/>
        <v>0</v>
      </c>
      <c r="F93" s="105">
        <f ca="1"/>
        <v>0</v>
      </c>
      <c r="G93" s="105">
        <f ca="1"/>
        <v>0</v>
      </c>
      <c r="I93"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Subtotal 0</v>
      </c>
      <c r="J93" s="60">
        <f t="shared" ref="J93:K93" si="6">SUBTOTAL(9,J85:J92)</f>
        <v>0</v>
      </c>
      <c r="K93" s="60">
        <f t="shared" ca="1" si="6"/>
        <v>0</v>
      </c>
      <c r="L93" s="60">
        <f t="shared" ca="1" si="4"/>
        <v>0</v>
      </c>
      <c r="M93" s="60">
        <f t="shared" ca="1" si="4"/>
        <v>0</v>
      </c>
      <c r="N93" s="60">
        <f t="shared" ca="1" si="4"/>
        <v>0</v>
      </c>
      <c r="O93" s="60">
        <f t="shared" ca="1" si="4"/>
        <v>0</v>
      </c>
      <c r="P93" s="60">
        <f>ROW()-ROW(budgetMilestone1[#Headers])</f>
        <v>76</v>
      </c>
      <c r="Q93" s="60">
        <f>IF(budgetMilestone1[row] &lt;= numCategories +3, budgetMilestone1[row]-1, MOD(budgetMilestone1[row]-1,numCategories+3) + IF(MOD(budgetMilestone1[row]-2,numCategories+2)&gt;numCategories+1, 1,0))</f>
        <v>9</v>
      </c>
      <c r="R93" s="60">
        <f>IFERROR(INDEX(directors[Last],MAX(1,FLOOR((budgetMilestone1[row]-1)/(numCategories+3)+1,1))),1)</f>
        <v>0</v>
      </c>
    </row>
    <row r="94" spans="1:18" ht="15" customHeight="1" x14ac:dyDescent="0.25">
      <c r="A94" s="105" t="str">
        <f ca="1"/>
        <v/>
      </c>
      <c r="B94" s="105">
        <f ca="1"/>
        <v>0</v>
      </c>
      <c r="C94" s="105">
        <f ca="1"/>
        <v>0</v>
      </c>
      <c r="D94" s="105">
        <f ca="1"/>
        <v>0</v>
      </c>
      <c r="E94" s="105">
        <f ca="1"/>
        <v>0</v>
      </c>
      <c r="F94" s="105">
        <f ca="1"/>
        <v>0</v>
      </c>
      <c r="G94" s="105">
        <f ca="1"/>
        <v>0</v>
      </c>
      <c r="I94"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c>
      <c r="O94" s="60">
        <f>SUM(budgetMilestone1[[#This Row],[Milestone 1]:[Final]])</f>
        <v>0</v>
      </c>
      <c r="P94" s="60">
        <f>ROW()-ROW(budgetMilestone1[#Headers])</f>
        <v>77</v>
      </c>
      <c r="Q94" s="60">
        <f>IF(budgetMilestone1[row] &lt;= numCategories +3, budgetMilestone1[row]-1, MOD(budgetMilestone1[row]-1,numCategories+3) + IF(MOD(budgetMilestone1[row]-2,numCategories+2)&gt;numCategories+1, 1,0))</f>
        <v>10</v>
      </c>
      <c r="R94" s="60">
        <f>IFERROR(INDEX(directors[Last],MAX(1,FLOOR((budgetMilestone1[row]-1)/(numCategories+3)+1,1))),1)</f>
        <v>0</v>
      </c>
    </row>
    <row r="95" spans="1:18" ht="15" customHeight="1" x14ac:dyDescent="0.25">
      <c r="A95" s="105" t="str">
        <f ca="1"/>
        <v xml:space="preserve">0 / </v>
      </c>
      <c r="B95" s="105">
        <f ca="1"/>
        <v>0</v>
      </c>
      <c r="C95" s="105">
        <f ca="1"/>
        <v>0</v>
      </c>
      <c r="D95" s="105">
        <f ca="1"/>
        <v>0</v>
      </c>
      <c r="E95" s="105">
        <f ca="1"/>
        <v>0</v>
      </c>
      <c r="F95" s="105">
        <f ca="1"/>
        <v>0</v>
      </c>
      <c r="G95" s="105">
        <f ca="1"/>
        <v>0</v>
      </c>
      <c r="I95"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xml:space="preserve">0 / </v>
      </c>
      <c r="O95" s="60">
        <f>SUM(budgetMilestone1[[#This Row],[Milestone 1]:[Final]])</f>
        <v>0</v>
      </c>
      <c r="P95" s="60">
        <f>ROW()-ROW(budgetMilestone1[#Headers])</f>
        <v>78</v>
      </c>
      <c r="Q95" s="60">
        <f>IF(budgetMilestone1[row] &lt;= numCategories +3, budgetMilestone1[row]-1, MOD(budgetMilestone1[row]-1,numCategories+3) + IF(MOD(budgetMilestone1[row]-2,numCategories+2)&gt;numCategories+1, 1,0))</f>
        <v>0</v>
      </c>
      <c r="R95" s="60">
        <f>IFERROR(INDEX(directors[Last],MAX(1,FLOOR((budgetMilestone1[row]-1)/(numCategories+3)+1,1))),1)</f>
        <v>0</v>
      </c>
    </row>
    <row r="96" spans="1:18" ht="15" customHeight="1" x14ac:dyDescent="0.25">
      <c r="A96" s="105" t="str">
        <f ca="1"/>
        <v>Equipment</v>
      </c>
      <c r="B96" s="105">
        <f ca="1"/>
        <v>0</v>
      </c>
      <c r="C96" s="105">
        <f ca="1"/>
        <v>0</v>
      </c>
      <c r="D96" s="105">
        <f ca="1"/>
        <v>0</v>
      </c>
      <c r="E96" s="105">
        <f ca="1"/>
        <v>0</v>
      </c>
      <c r="F96" s="105">
        <f ca="1"/>
        <v>0</v>
      </c>
      <c r="G96" s="105">
        <f ca="1"/>
        <v>0</v>
      </c>
      <c r="I96"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Equipment</v>
      </c>
      <c r="J96" s="60">
        <f>SUMIFS(ARF[Amount in Euro], ARF[Co Director],budgetMilestone1[director], ARF[Category], budgetMilestone1[Category], ARF[Date], "&gt;" &amp; cleanDateKickoff,ARF[Date], "&lt;=" &amp; cleanDateMilestone1)</f>
        <v>0</v>
      </c>
      <c r="K96" s="85">
        <f ca="1">'Milestone 1'!$C96</f>
        <v>0</v>
      </c>
      <c r="L96" s="85">
        <f ca="1">'Milestone 1'!$D96</f>
        <v>0</v>
      </c>
      <c r="M96" s="85">
        <f ca="1">'Milestone 1'!$E96</f>
        <v>0</v>
      </c>
      <c r="N96" s="85">
        <f ca="1">'Milestone 1'!$F96</f>
        <v>0</v>
      </c>
      <c r="O96" s="60">
        <f ca="1">SUM(budgetMilestone1[[#This Row],[Milestone 1]:[Final]])</f>
        <v>0</v>
      </c>
      <c r="P96" s="60">
        <f>ROW()-ROW(budgetMilestone1[#Headers])</f>
        <v>79</v>
      </c>
      <c r="Q96" s="60">
        <f>IF(budgetMilestone1[row] &lt;= numCategories +3, budgetMilestone1[row]-1, MOD(budgetMilestone1[row]-1,numCategories+3) + IF(MOD(budgetMilestone1[row]-2,numCategories+2)&gt;numCategories+1, 1,0))</f>
        <v>1</v>
      </c>
      <c r="R96" s="60">
        <f>IFERROR(INDEX(directors[Last],MAX(1,FLOOR((budgetMilestone1[row]-1)/(numCategories+3)+1,1))),1)</f>
        <v>0</v>
      </c>
    </row>
    <row r="97" spans="1:18" ht="15" customHeight="1" x14ac:dyDescent="0.25">
      <c r="A97" s="105" t="str">
        <f ca="1"/>
        <v>Training</v>
      </c>
      <c r="B97" s="105">
        <f ca="1"/>
        <v>0</v>
      </c>
      <c r="C97" s="105">
        <f ca="1"/>
        <v>0</v>
      </c>
      <c r="D97" s="105">
        <f ca="1"/>
        <v>0</v>
      </c>
      <c r="E97" s="105">
        <f ca="1"/>
        <v>0</v>
      </c>
      <c r="F97" s="105">
        <f ca="1"/>
        <v>0</v>
      </c>
      <c r="G97" s="105">
        <f ca="1"/>
        <v>0</v>
      </c>
      <c r="I97"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Training</v>
      </c>
      <c r="J97" s="60">
        <f>SUMIFS(ARF[Amount in Euro], ARF[Co Director],budgetMilestone1[director], ARF[Category], budgetMilestone1[Category], ARF[Date], "&gt;" &amp; cleanDateKickoff,ARF[Date], "&lt;=" &amp; cleanDateMilestone1)</f>
        <v>0</v>
      </c>
      <c r="K97" s="85">
        <f ca="1">'Milestone 1'!$C97</f>
        <v>0</v>
      </c>
      <c r="L97" s="85">
        <f ca="1">'Milestone 1'!$D97</f>
        <v>0</v>
      </c>
      <c r="M97" s="85">
        <f ca="1">'Milestone 1'!$E97</f>
        <v>0</v>
      </c>
      <c r="N97" s="85">
        <f ca="1">'Milestone 1'!$F97</f>
        <v>0</v>
      </c>
      <c r="O97" s="60">
        <f ca="1">SUM(budgetMilestone1[[#This Row],[Milestone 1]:[Final]])</f>
        <v>0</v>
      </c>
      <c r="P97" s="60">
        <f>ROW()-ROW(budgetMilestone1[#Headers])</f>
        <v>80</v>
      </c>
      <c r="Q97" s="60">
        <f>IF(budgetMilestone1[row] &lt;= numCategories +3, budgetMilestone1[row]-1, MOD(budgetMilestone1[row]-1,numCategories+3) + IF(MOD(budgetMilestone1[row]-2,numCategories+2)&gt;numCategories+1, 1,0))</f>
        <v>2</v>
      </c>
      <c r="R97" s="60">
        <f>IFERROR(INDEX(directors[Last],MAX(1,FLOOR((budgetMilestone1[row]-1)/(numCategories+3)+1,1))),1)</f>
        <v>0</v>
      </c>
    </row>
    <row r="98" spans="1:18" ht="15" customHeight="1" x14ac:dyDescent="0.25">
      <c r="A98" s="105" t="str">
        <f ca="1"/>
        <v>Communication &amp; Publication</v>
      </c>
      <c r="B98" s="105">
        <f ca="1"/>
        <v>0</v>
      </c>
      <c r="C98" s="105">
        <f ca="1"/>
        <v>0</v>
      </c>
      <c r="D98" s="105">
        <f ca="1"/>
        <v>0</v>
      </c>
      <c r="E98" s="105">
        <f ca="1"/>
        <v>0</v>
      </c>
      <c r="F98" s="105">
        <f ca="1"/>
        <v>0</v>
      </c>
      <c r="G98" s="105">
        <f ca="1"/>
        <v>0</v>
      </c>
      <c r="I98"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Communication &amp; Publication</v>
      </c>
      <c r="J98" s="60">
        <f>SUMIFS(ARF[Amount in Euro], ARF[Co Director],budgetMilestone1[director], ARF[Category], budgetMilestone1[Category], ARF[Date], "&gt;" &amp; cleanDateKickoff,ARF[Date], "&lt;=" &amp; cleanDateMilestone1)</f>
        <v>0</v>
      </c>
      <c r="K98" s="85">
        <f ca="1">'Milestone 1'!$C98</f>
        <v>0</v>
      </c>
      <c r="L98" s="85">
        <f ca="1">'Milestone 1'!$D98</f>
        <v>0</v>
      </c>
      <c r="M98" s="85">
        <f ca="1">'Milestone 1'!$E98</f>
        <v>0</v>
      </c>
      <c r="N98" s="85">
        <f ca="1">'Milestone 1'!$F98</f>
        <v>0</v>
      </c>
      <c r="O98" s="60">
        <f ca="1">SUM(budgetMilestone1[[#This Row],[Milestone 1]:[Final]])</f>
        <v>0</v>
      </c>
      <c r="P98" s="61">
        <f>ROW()-ROW(budgetMilestone1[#Headers])</f>
        <v>81</v>
      </c>
      <c r="Q98" s="61">
        <f>IF(budgetMilestone1[row] &lt;= numCategories +3, budgetMilestone1[row]-1, MOD(budgetMilestone1[row]-1,numCategories+3) + IF(MOD(budgetMilestone1[row]-2,numCategories+2)&gt;numCategories+1, 1,0))</f>
        <v>3</v>
      </c>
      <c r="R98" s="60">
        <f>IFERROR(INDEX(directors[Last],MAX(1,FLOOR((budgetMilestone1[row]-1)/(numCategories+3)+1,1))),1)</f>
        <v>0</v>
      </c>
    </row>
    <row r="99" spans="1:18" ht="15" customHeight="1" x14ac:dyDescent="0.25">
      <c r="A99" s="105" t="str">
        <f ca="1"/>
        <v>Travel</v>
      </c>
      <c r="B99" s="105">
        <f ca="1"/>
        <v>0</v>
      </c>
      <c r="C99" s="105">
        <f ca="1"/>
        <v>0</v>
      </c>
      <c r="D99" s="105">
        <f ca="1"/>
        <v>0</v>
      </c>
      <c r="E99" s="105">
        <f ca="1"/>
        <v>0</v>
      </c>
      <c r="F99" s="105">
        <f ca="1"/>
        <v>0</v>
      </c>
      <c r="G99" s="105">
        <f ca="1"/>
        <v>0</v>
      </c>
      <c r="I99"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Travel</v>
      </c>
      <c r="J99" s="60">
        <f>SUMIFS(ARF[Amount in Euro], ARF[Co Director],budgetMilestone1[director], ARF[Category], budgetMilestone1[Category], ARF[Date], "&gt;" &amp; cleanDateKickoff,ARF[Date], "&lt;=" &amp; cleanDateMilestone1)</f>
        <v>0</v>
      </c>
      <c r="K99" s="85">
        <f ca="1">'Milestone 1'!$C99</f>
        <v>0</v>
      </c>
      <c r="L99" s="85">
        <f ca="1">'Milestone 1'!$D99</f>
        <v>0</v>
      </c>
      <c r="M99" s="85">
        <f ca="1">'Milestone 1'!$E99</f>
        <v>0</v>
      </c>
      <c r="N99" s="85">
        <f ca="1">'Milestone 1'!$F99</f>
        <v>0</v>
      </c>
      <c r="O99" s="60">
        <f ca="1">SUM(budgetMilestone1[[#This Row],[Milestone 1]:[Final]])</f>
        <v>0</v>
      </c>
      <c r="P99" s="60">
        <f>ROW()-ROW(budgetMilestone1[#Headers])</f>
        <v>82</v>
      </c>
      <c r="Q99" s="60">
        <f>IF(budgetMilestone1[row] &lt;= numCategories +3, budgetMilestone1[row]-1, MOD(budgetMilestone1[row]-1,numCategories+3) + IF(MOD(budgetMilestone1[row]-2,numCategories+2)&gt;numCategories+1, 1,0))</f>
        <v>4</v>
      </c>
      <c r="R99" s="60">
        <f>IFERROR(INDEX(directors[Last],MAX(1,FLOOR((budgetMilestone1[row]-1)/(numCategories+3)+1,1))),1)</f>
        <v>0</v>
      </c>
    </row>
    <row r="100" spans="1:18" ht="15" customHeight="1" x14ac:dyDescent="0.25">
      <c r="A100" s="105" t="str">
        <f ca="1"/>
        <v>Consumables</v>
      </c>
      <c r="B100" s="105">
        <f ca="1"/>
        <v>0</v>
      </c>
      <c r="C100" s="105">
        <f ca="1"/>
        <v>0</v>
      </c>
      <c r="D100" s="105">
        <f ca="1"/>
        <v>0</v>
      </c>
      <c r="E100" s="105">
        <f ca="1"/>
        <v>0</v>
      </c>
      <c r="F100" s="105">
        <f ca="1"/>
        <v>0</v>
      </c>
      <c r="G100" s="105">
        <f ca="1"/>
        <v>0</v>
      </c>
      <c r="I100"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Consumables</v>
      </c>
      <c r="J100" s="60">
        <f>SUMIFS(ARF[Amount in Euro], ARF[Co Director],budgetMilestone1[director], ARF[Category], budgetMilestone1[Category], ARF[Date], "&gt;" &amp; cleanDateKickoff,ARF[Date], "&lt;=" &amp; cleanDateMilestone1)</f>
        <v>0</v>
      </c>
      <c r="K100" s="85">
        <f ca="1">'Milestone 1'!$C100</f>
        <v>0</v>
      </c>
      <c r="L100" s="85">
        <f ca="1">'Milestone 1'!$D100</f>
        <v>0</v>
      </c>
      <c r="M100" s="85">
        <f ca="1">'Milestone 1'!$E100</f>
        <v>0</v>
      </c>
      <c r="N100" s="85">
        <f ca="1">'Milestone 1'!$F100</f>
        <v>0</v>
      </c>
      <c r="O100" s="60">
        <f ca="1">SUM(budgetMilestone1[[#This Row],[Milestone 1]:[Final]])</f>
        <v>0</v>
      </c>
      <c r="P100" s="60">
        <f>ROW()-ROW(budgetMilestone1[#Headers])</f>
        <v>83</v>
      </c>
      <c r="Q100" s="60">
        <f>IF(budgetMilestone1[row] &lt;= numCategories +3, budgetMilestone1[row]-1, MOD(budgetMilestone1[row]-1,numCategories+3) + IF(MOD(budgetMilestone1[row]-2,numCategories+2)&gt;numCategories+1, 1,0))</f>
        <v>5</v>
      </c>
      <c r="R100" s="60">
        <f>IFERROR(INDEX(directors[Last],MAX(1,FLOOR((budgetMilestone1[row]-1)/(numCategories+3)+1,1))),1)</f>
        <v>0</v>
      </c>
    </row>
    <row r="101" spans="1:18" ht="15" customHeight="1" x14ac:dyDescent="0.25">
      <c r="A101" s="105" t="str">
        <f ca="1"/>
        <v>Other</v>
      </c>
      <c r="B101" s="105">
        <f ca="1"/>
        <v>0</v>
      </c>
      <c r="C101" s="105">
        <f ca="1"/>
        <v>0</v>
      </c>
      <c r="D101" s="105">
        <f ca="1"/>
        <v>0</v>
      </c>
      <c r="E101" s="105">
        <f ca="1"/>
        <v>0</v>
      </c>
      <c r="F101" s="105">
        <f ca="1"/>
        <v>0</v>
      </c>
      <c r="G101" s="105">
        <f ca="1"/>
        <v>0</v>
      </c>
      <c r="I101"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Other</v>
      </c>
      <c r="J101" s="60">
        <f>SUMIFS(ARF[Amount in Euro], ARF[Co Director],budgetMilestone1[director], ARF[Category], budgetMilestone1[Category], ARF[Date], "&gt;" &amp; cleanDateKickoff,ARF[Date], "&lt;=" &amp; cleanDateMilestone1)</f>
        <v>0</v>
      </c>
      <c r="K101" s="85">
        <f ca="1">'Milestone 1'!$C101</f>
        <v>0</v>
      </c>
      <c r="L101" s="85">
        <f ca="1">'Milestone 1'!$D101</f>
        <v>0</v>
      </c>
      <c r="M101" s="85">
        <f ca="1">'Milestone 1'!$E101</f>
        <v>0</v>
      </c>
      <c r="N101" s="85">
        <f ca="1">'Milestone 1'!$F101</f>
        <v>0</v>
      </c>
      <c r="O101" s="60">
        <f ca="1">SUM(budgetMilestone1[[#This Row],[Milestone 1]:[Final]])</f>
        <v>0</v>
      </c>
      <c r="P101" s="60">
        <f>ROW()-ROW(budgetMilestone1[#Headers])</f>
        <v>84</v>
      </c>
      <c r="Q101" s="60">
        <f>IF(budgetMilestone1[row] &lt;= numCategories +3, budgetMilestone1[row]-1, MOD(budgetMilestone1[row]-1,numCategories+3) + IF(MOD(budgetMilestone1[row]-2,numCategories+2)&gt;numCategories+1, 1,0))</f>
        <v>6</v>
      </c>
      <c r="R101" s="60">
        <f>IFERROR(INDEX(directors[Last],MAX(1,FLOOR((budgetMilestone1[row]-1)/(numCategories+3)+1,1))),1)</f>
        <v>0</v>
      </c>
    </row>
    <row r="102" spans="1:18" ht="15" customHeight="1" x14ac:dyDescent="0.25">
      <c r="A102" s="105" t="str">
        <f ca="1"/>
        <v>Stipends</v>
      </c>
      <c r="B102" s="105">
        <f ca="1"/>
        <v>0</v>
      </c>
      <c r="C102" s="105">
        <f ca="1"/>
        <v>0</v>
      </c>
      <c r="D102" s="105">
        <f ca="1"/>
        <v>0</v>
      </c>
      <c r="E102" s="105">
        <f ca="1"/>
        <v>0</v>
      </c>
      <c r="F102" s="105">
        <f ca="1"/>
        <v>0</v>
      </c>
      <c r="G102" s="105">
        <f ca="1"/>
        <v>0</v>
      </c>
      <c r="I102"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Stipends</v>
      </c>
      <c r="J102" s="60">
        <f>SUMIFS(ARF[Amount in Euro], ARF[Co Director],budgetMilestone1[director], ARF[Category], budgetMilestone1[Category], ARF[Date], "&gt;" &amp; cleanDateKickoff,ARF[Date], "&lt;=" &amp; cleanDateMilestone1)</f>
        <v>0</v>
      </c>
      <c r="K102" s="85">
        <f ca="1">'Milestone 1'!$C102</f>
        <v>0</v>
      </c>
      <c r="L102" s="85">
        <f ca="1">'Milestone 1'!$D102</f>
        <v>0</v>
      </c>
      <c r="M102" s="85">
        <f ca="1">'Milestone 1'!$E102</f>
        <v>0</v>
      </c>
      <c r="N102" s="85">
        <f ca="1">'Milestone 1'!$F102</f>
        <v>0</v>
      </c>
      <c r="O102" s="60">
        <f ca="1">SUM(budgetMilestone1[[#This Row],[Milestone 1]:[Final]])</f>
        <v>0</v>
      </c>
      <c r="P102" s="60">
        <f>ROW()-ROW(budgetMilestone1[#Headers])</f>
        <v>85</v>
      </c>
      <c r="Q102" s="60">
        <f>IF(budgetMilestone1[row] &lt;= numCategories +3, budgetMilestone1[row]-1, MOD(budgetMilestone1[row]-1,numCategories+3) + IF(MOD(budgetMilestone1[row]-2,numCategories+2)&gt;numCategories+1, 1,0))</f>
        <v>7</v>
      </c>
      <c r="R102" s="60">
        <f>IFERROR(INDEX(directors[Last],MAX(1,FLOOR((budgetMilestone1[row]-1)/(numCategories+3)+1,1))),1)</f>
        <v>0</v>
      </c>
    </row>
    <row r="103" spans="1:18" ht="15" customHeight="1" x14ac:dyDescent="0.25">
      <c r="A103" s="105" t="str">
        <f ca="1"/>
        <v>Co-financing of personnel</v>
      </c>
      <c r="B103" s="105">
        <f ca="1"/>
        <v>0</v>
      </c>
      <c r="C103" s="105">
        <f ca="1"/>
        <v>0</v>
      </c>
      <c r="D103" s="105">
        <f ca="1"/>
        <v>0</v>
      </c>
      <c r="E103" s="105">
        <f ca="1"/>
        <v>0</v>
      </c>
      <c r="F103" s="105">
        <f ca="1"/>
        <v>0</v>
      </c>
      <c r="G103" s="105">
        <f ca="1"/>
        <v>0</v>
      </c>
      <c r="I103"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Co-financing of personnel</v>
      </c>
      <c r="J103" s="60">
        <f>SUMIFS(ARF[Amount in Euro], ARF[Co Director],budgetMilestone1[director], ARF[Category], budgetMilestone1[Category], ARF[Date], "&gt;" &amp; cleanDateKickoff,ARF[Date], "&lt;=" &amp; cleanDateMilestone1)</f>
        <v>0</v>
      </c>
      <c r="K103" s="85">
        <f ca="1">'Milestone 1'!$C103</f>
        <v>0</v>
      </c>
      <c r="L103" s="85">
        <f ca="1">'Milestone 1'!$D103</f>
        <v>0</v>
      </c>
      <c r="M103" s="85">
        <f ca="1">'Milestone 1'!$E103</f>
        <v>0</v>
      </c>
      <c r="N103" s="85">
        <f ca="1">'Milestone 1'!$F103</f>
        <v>0</v>
      </c>
      <c r="O103" s="60">
        <f ca="1">SUM(budgetMilestone1[[#This Row],[Milestone 1]:[Final]])</f>
        <v>0</v>
      </c>
      <c r="P103" s="60">
        <f>ROW()-ROW(budgetMilestone1[#Headers])</f>
        <v>86</v>
      </c>
      <c r="Q103" s="60">
        <f>IF(budgetMilestone1[row] &lt;= numCategories +3, budgetMilestone1[row]-1, MOD(budgetMilestone1[row]-1,numCategories+3) + IF(MOD(budgetMilestone1[row]-2,numCategories+2)&gt;numCategories+1, 1,0))</f>
        <v>8</v>
      </c>
      <c r="R103" s="60">
        <f>IFERROR(INDEX(directors[Last],MAX(1,FLOOR((budgetMilestone1[row]-1)/(numCategories+3)+1,1))),1)</f>
        <v>0</v>
      </c>
    </row>
    <row r="104" spans="1:18" ht="15" customHeight="1" x14ac:dyDescent="0.25">
      <c r="A104" s="105" t="str">
        <f ca="1"/>
        <v>Subtotal 0</v>
      </c>
      <c r="B104" s="105">
        <f ca="1"/>
        <v>0</v>
      </c>
      <c r="C104" s="105">
        <f ca="1"/>
        <v>0</v>
      </c>
      <c r="D104" s="105">
        <f ca="1"/>
        <v>0</v>
      </c>
      <c r="E104" s="105">
        <f ca="1"/>
        <v>0</v>
      </c>
      <c r="F104" s="105">
        <f ca="1"/>
        <v>0</v>
      </c>
      <c r="G104" s="105">
        <f ca="1"/>
        <v>0</v>
      </c>
      <c r="I104"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Subtotal 0</v>
      </c>
      <c r="J104" s="60">
        <f t="shared" ref="J104:O126" si="7">SUBTOTAL(9,J96:J103)</f>
        <v>0</v>
      </c>
      <c r="K104" s="60">
        <f t="shared" ca="1" si="7"/>
        <v>0</v>
      </c>
      <c r="L104" s="60">
        <f t="shared" ca="1" si="7"/>
        <v>0</v>
      </c>
      <c r="M104" s="60">
        <f t="shared" ca="1" si="7"/>
        <v>0</v>
      </c>
      <c r="N104" s="60">
        <f t="shared" ca="1" si="7"/>
        <v>0</v>
      </c>
      <c r="O104" s="60">
        <f t="shared" ca="1" si="7"/>
        <v>0</v>
      </c>
      <c r="P104" s="61">
        <f>ROW()-ROW(budgetMilestone1[#Headers])</f>
        <v>87</v>
      </c>
      <c r="Q104" s="61">
        <f>IF(budgetMilestone1[row] &lt;= numCategories +3, budgetMilestone1[row]-1, MOD(budgetMilestone1[row]-1,numCategories+3) + IF(MOD(budgetMilestone1[row]-2,numCategories+2)&gt;numCategories+1, 1,0))</f>
        <v>9</v>
      </c>
      <c r="R104" s="60">
        <f>IFERROR(INDEX(directors[Last],MAX(1,FLOOR((budgetMilestone1[row]-1)/(numCategories+3)+1,1))),1)</f>
        <v>0</v>
      </c>
    </row>
    <row r="105" spans="1:18" ht="15" customHeight="1" x14ac:dyDescent="0.25">
      <c r="A105" s="105" t="str">
        <f ca="1"/>
        <v/>
      </c>
      <c r="B105" s="105">
        <f ca="1"/>
        <v>0</v>
      </c>
      <c r="C105" s="105">
        <f ca="1"/>
        <v>0</v>
      </c>
      <c r="D105" s="105">
        <f ca="1"/>
        <v>0</v>
      </c>
      <c r="E105" s="105">
        <f ca="1"/>
        <v>0</v>
      </c>
      <c r="F105" s="105">
        <f ca="1"/>
        <v>0</v>
      </c>
      <c r="G105" s="105">
        <f ca="1"/>
        <v>0</v>
      </c>
      <c r="I105"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c>
      <c r="O105" s="60">
        <f>SUM(budgetMilestone1[[#This Row],[Milestone 1]:[Final]])</f>
        <v>0</v>
      </c>
      <c r="P105" s="60">
        <f>ROW()-ROW(budgetMilestone1[#Headers])</f>
        <v>88</v>
      </c>
      <c r="Q105" s="60">
        <f>IF(budgetMilestone1[row] &lt;= numCategories +3, budgetMilestone1[row]-1, MOD(budgetMilestone1[row]-1,numCategories+3) + IF(MOD(budgetMilestone1[row]-2,numCategories+2)&gt;numCategories+1, 1,0))</f>
        <v>10</v>
      </c>
      <c r="R105" s="60">
        <f>IFERROR(INDEX(directors[Last],MAX(1,FLOOR((budgetMilestone1[row]-1)/(numCategories+3)+1,1))),1)</f>
        <v>0</v>
      </c>
    </row>
    <row r="106" spans="1:18" ht="15" customHeight="1" x14ac:dyDescent="0.25">
      <c r="A106" s="105" t="str">
        <f ca="1"/>
        <v xml:space="preserve">0 / </v>
      </c>
      <c r="B106" s="105">
        <f ca="1"/>
        <v>0</v>
      </c>
      <c r="C106" s="105">
        <f ca="1"/>
        <v>0</v>
      </c>
      <c r="D106" s="105">
        <f ca="1"/>
        <v>0</v>
      </c>
      <c r="E106" s="105">
        <f ca="1"/>
        <v>0</v>
      </c>
      <c r="F106" s="105">
        <f ca="1"/>
        <v>0</v>
      </c>
      <c r="G106" s="105">
        <f ca="1"/>
        <v>0</v>
      </c>
      <c r="I106"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xml:space="preserve">0 / </v>
      </c>
      <c r="K106" s="85"/>
      <c r="L106" s="85"/>
      <c r="M106" s="85"/>
      <c r="N106" s="85"/>
      <c r="P106" s="60">
        <f>ROW()-ROW(budgetMilestone1[#Headers])</f>
        <v>89</v>
      </c>
      <c r="Q106" s="60">
        <f>IF(budgetMilestone1[row] &lt;= numCategories +3, budgetMilestone1[row]-1, MOD(budgetMilestone1[row]-1,numCategories+3) + IF(MOD(budgetMilestone1[row]-2,numCategories+2)&gt;numCategories+1, 1,0))</f>
        <v>0</v>
      </c>
      <c r="R106" s="60">
        <f>IFERROR(INDEX(directors[Last],MAX(1,FLOOR((budgetMilestone1[row]-1)/(numCategories+3)+1,1))),1)</f>
        <v>0</v>
      </c>
    </row>
    <row r="107" spans="1:18" ht="15" customHeight="1" x14ac:dyDescent="0.25">
      <c r="A107" s="105" t="str">
        <f ca="1"/>
        <v>Equipment</v>
      </c>
      <c r="B107" s="105">
        <f ca="1"/>
        <v>0</v>
      </c>
      <c r="C107" s="105">
        <f ca="1"/>
        <v>0</v>
      </c>
      <c r="D107" s="105">
        <f ca="1"/>
        <v>0</v>
      </c>
      <c r="E107" s="105">
        <f ca="1"/>
        <v>0</v>
      </c>
      <c r="F107" s="105">
        <f ca="1"/>
        <v>0</v>
      </c>
      <c r="G107" s="105">
        <f ca="1"/>
        <v>0</v>
      </c>
      <c r="I107"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Equipment</v>
      </c>
      <c r="J107" s="60">
        <f>SUMIFS(ARF[Amount in Euro], ARF[Co Director],budgetMilestone1[director], ARF[Category], budgetMilestone1[Category], ARF[Date], "&gt;" &amp; cleanDateKickoff,ARF[Date], "&lt;=" &amp; cleanDateMilestone1)</f>
        <v>0</v>
      </c>
      <c r="K107" s="85">
        <f ca="1">'Milestone 1'!$C107</f>
        <v>0</v>
      </c>
      <c r="L107" s="85">
        <f ca="1">'Milestone 1'!$D107</f>
        <v>0</v>
      </c>
      <c r="M107" s="85">
        <f ca="1">'Milestone 1'!$E107</f>
        <v>0</v>
      </c>
      <c r="N107" s="85">
        <f ca="1">'Milestone 1'!$F107</f>
        <v>0</v>
      </c>
      <c r="O107" s="60">
        <f ca="1">SUM(budgetMilestone1[[#This Row],[Milestone 1]:[Final]])</f>
        <v>0</v>
      </c>
      <c r="P107" s="61">
        <f>ROW()-ROW(budgetMilestone1[#Headers])</f>
        <v>90</v>
      </c>
      <c r="Q107" s="61">
        <f>IF(budgetMilestone1[row] &lt;= numCategories +3, budgetMilestone1[row]-1, MOD(budgetMilestone1[row]-1,numCategories+3) + IF(MOD(budgetMilestone1[row]-2,numCategories+2)&gt;numCategories+1, 1,0))</f>
        <v>1</v>
      </c>
      <c r="R107" s="60">
        <f>IFERROR(INDEX(directors[Last],MAX(1,FLOOR((budgetMilestone1[row]-1)/(numCategories+3)+1,1))),1)</f>
        <v>0</v>
      </c>
    </row>
    <row r="108" spans="1:18" ht="15" customHeight="1" x14ac:dyDescent="0.25">
      <c r="A108" s="105" t="str">
        <f ca="1"/>
        <v>Training</v>
      </c>
      <c r="B108" s="105">
        <f ca="1"/>
        <v>0</v>
      </c>
      <c r="C108" s="105">
        <f ca="1"/>
        <v>0</v>
      </c>
      <c r="D108" s="105">
        <f ca="1"/>
        <v>0</v>
      </c>
      <c r="E108" s="105">
        <f ca="1"/>
        <v>0</v>
      </c>
      <c r="F108" s="105">
        <f ca="1"/>
        <v>0</v>
      </c>
      <c r="G108" s="105">
        <f ca="1"/>
        <v>0</v>
      </c>
      <c r="I108"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Training</v>
      </c>
      <c r="J108" s="60">
        <f>SUMIFS(ARF[Amount in Euro], ARF[Co Director],budgetMilestone1[director], ARF[Category], budgetMilestone1[Category], ARF[Date], "&gt;" &amp; cleanDateKickoff,ARF[Date], "&lt;=" &amp; cleanDateMilestone1)</f>
        <v>0</v>
      </c>
      <c r="K108" s="85">
        <f ca="1">'Milestone 1'!$C108</f>
        <v>0</v>
      </c>
      <c r="L108" s="85">
        <f ca="1">'Milestone 1'!$D108</f>
        <v>0</v>
      </c>
      <c r="M108" s="85">
        <f ca="1">'Milestone 1'!$E108</f>
        <v>0</v>
      </c>
      <c r="N108" s="85">
        <f ca="1">'Milestone 1'!$F108</f>
        <v>0</v>
      </c>
      <c r="O108" s="60">
        <f ca="1">SUM(budgetMilestone1[[#This Row],[Milestone 1]:[Final]])</f>
        <v>0</v>
      </c>
      <c r="P108" s="60">
        <f>ROW()-ROW(budgetMilestone1[#Headers])</f>
        <v>91</v>
      </c>
      <c r="Q108" s="60">
        <f>IF(budgetMilestone1[row] &lt;= numCategories +3, budgetMilestone1[row]-1, MOD(budgetMilestone1[row]-1,numCategories+3) + IF(MOD(budgetMilestone1[row]-2,numCategories+2)&gt;numCategories+1, 1,0))</f>
        <v>2</v>
      </c>
      <c r="R108" s="60">
        <f>IFERROR(INDEX(directors[Last],MAX(1,FLOOR((budgetMilestone1[row]-1)/(numCategories+3)+1,1))),1)</f>
        <v>0</v>
      </c>
    </row>
    <row r="109" spans="1:18" ht="15" customHeight="1" x14ac:dyDescent="0.25">
      <c r="A109" s="105" t="str">
        <f ca="1"/>
        <v>Communication &amp; Publication</v>
      </c>
      <c r="B109" s="105">
        <f ca="1"/>
        <v>0</v>
      </c>
      <c r="C109" s="105">
        <f ca="1"/>
        <v>0</v>
      </c>
      <c r="D109" s="105">
        <f ca="1"/>
        <v>0</v>
      </c>
      <c r="E109" s="105">
        <f ca="1"/>
        <v>0</v>
      </c>
      <c r="F109" s="105">
        <f ca="1"/>
        <v>0</v>
      </c>
      <c r="G109" s="105">
        <f ca="1"/>
        <v>0</v>
      </c>
      <c r="I109"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Communication &amp; Publication</v>
      </c>
      <c r="J109" s="60">
        <f>SUMIFS(ARF[Amount in Euro], ARF[Co Director],budgetMilestone1[director], ARF[Category], budgetMilestone1[Category], ARF[Date], "&gt;" &amp; cleanDateKickoff,ARF[Date], "&lt;=" &amp; cleanDateMilestone1)</f>
        <v>0</v>
      </c>
      <c r="K109" s="85">
        <f ca="1">'Milestone 1'!$C109</f>
        <v>0</v>
      </c>
      <c r="L109" s="85">
        <f ca="1">'Milestone 1'!$D109</f>
        <v>0</v>
      </c>
      <c r="M109" s="85">
        <f ca="1">'Milestone 1'!$E109</f>
        <v>0</v>
      </c>
      <c r="N109" s="85">
        <f ca="1">'Milestone 1'!$F109</f>
        <v>0</v>
      </c>
      <c r="O109" s="60">
        <f ca="1">SUM(budgetMilestone1[[#This Row],[Milestone 1]:[Final]])</f>
        <v>0</v>
      </c>
      <c r="P109" s="61">
        <f>ROW()-ROW(budgetMilestone1[#Headers])</f>
        <v>92</v>
      </c>
      <c r="Q109" s="61">
        <f>IF(budgetMilestone1[row] &lt;= numCategories +3, budgetMilestone1[row]-1, MOD(budgetMilestone1[row]-1,numCategories+3) + IF(MOD(budgetMilestone1[row]-2,numCategories+2)&gt;numCategories+1, 1,0))</f>
        <v>3</v>
      </c>
      <c r="R109" s="60">
        <f>IFERROR(INDEX(directors[Last],MAX(1,FLOOR((budgetMilestone1[row]-1)/(numCategories+3)+1,1))),1)</f>
        <v>0</v>
      </c>
    </row>
    <row r="110" spans="1:18" ht="15" customHeight="1" x14ac:dyDescent="0.25">
      <c r="A110" s="105" t="str">
        <f ca="1"/>
        <v>Travel</v>
      </c>
      <c r="B110" s="105">
        <f ca="1"/>
        <v>0</v>
      </c>
      <c r="C110" s="105">
        <f ca="1"/>
        <v>0</v>
      </c>
      <c r="D110" s="105">
        <f ca="1"/>
        <v>0</v>
      </c>
      <c r="E110" s="105">
        <f ca="1"/>
        <v>0</v>
      </c>
      <c r="F110" s="105">
        <f ca="1"/>
        <v>0</v>
      </c>
      <c r="G110" s="105">
        <f ca="1"/>
        <v>0</v>
      </c>
      <c r="I110"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Travel</v>
      </c>
      <c r="J110" s="60">
        <f>SUMIFS(ARF[Amount in Euro], ARF[Co Director],budgetMilestone1[director], ARF[Category], budgetMilestone1[Category], ARF[Date], "&gt;" &amp; cleanDateKickoff,ARF[Date], "&lt;=" &amp; cleanDateMilestone1)</f>
        <v>0</v>
      </c>
      <c r="K110" s="85">
        <f ca="1">'Milestone 1'!$C110</f>
        <v>0</v>
      </c>
      <c r="L110" s="85">
        <f ca="1">'Milestone 1'!$D110</f>
        <v>0</v>
      </c>
      <c r="M110" s="85">
        <f ca="1">'Milestone 1'!$E110</f>
        <v>0</v>
      </c>
      <c r="N110" s="85">
        <f ca="1">'Milestone 1'!$F110</f>
        <v>0</v>
      </c>
      <c r="O110" s="60">
        <f ca="1">SUM(budgetMilestone1[[#This Row],[Milestone 1]:[Final]])</f>
        <v>0</v>
      </c>
      <c r="P110" s="60">
        <f>ROW()-ROW(budgetMilestone1[#Headers])</f>
        <v>93</v>
      </c>
      <c r="Q110" s="60">
        <f>IF(budgetMilestone1[row] &lt;= numCategories +3, budgetMilestone1[row]-1, MOD(budgetMilestone1[row]-1,numCategories+3) + IF(MOD(budgetMilestone1[row]-2,numCategories+2)&gt;numCategories+1, 1,0))</f>
        <v>4</v>
      </c>
      <c r="R110" s="60">
        <f>IFERROR(INDEX(directors[Last],MAX(1,FLOOR((budgetMilestone1[row]-1)/(numCategories+3)+1,1))),1)</f>
        <v>0</v>
      </c>
    </row>
    <row r="111" spans="1:18" ht="15" customHeight="1" x14ac:dyDescent="0.25">
      <c r="A111" s="105" t="str">
        <f ca="1"/>
        <v>Consumables</v>
      </c>
      <c r="B111" s="105">
        <f ca="1"/>
        <v>0</v>
      </c>
      <c r="C111" s="105">
        <f ca="1"/>
        <v>0</v>
      </c>
      <c r="D111" s="105">
        <f ca="1"/>
        <v>0</v>
      </c>
      <c r="E111" s="105">
        <f ca="1"/>
        <v>0</v>
      </c>
      <c r="F111" s="105">
        <f ca="1"/>
        <v>0</v>
      </c>
      <c r="G111" s="105">
        <f ca="1"/>
        <v>0</v>
      </c>
      <c r="I111"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Consumables</v>
      </c>
      <c r="J111" s="60">
        <f>SUMIFS(ARF[Amount in Euro], ARF[Co Director],budgetMilestone1[director], ARF[Category], budgetMilestone1[Category], ARF[Date], "&gt;" &amp; cleanDateKickoff,ARF[Date], "&lt;=" &amp; cleanDateMilestone1)</f>
        <v>0</v>
      </c>
      <c r="K111" s="85">
        <f ca="1">'Milestone 1'!$C111</f>
        <v>0</v>
      </c>
      <c r="L111" s="85">
        <f ca="1">'Milestone 1'!$D111</f>
        <v>0</v>
      </c>
      <c r="M111" s="85">
        <f ca="1">'Milestone 1'!$E111</f>
        <v>0</v>
      </c>
      <c r="N111" s="85">
        <f ca="1">'Milestone 1'!$F111</f>
        <v>0</v>
      </c>
      <c r="O111" s="60">
        <f ca="1">SUM(budgetMilestone1[[#This Row],[Milestone 1]:[Final]])</f>
        <v>0</v>
      </c>
      <c r="P111" s="60">
        <f>ROW()-ROW(budgetMilestone1[#Headers])</f>
        <v>94</v>
      </c>
      <c r="Q111" s="60">
        <f>IF(budgetMilestone1[row] &lt;= numCategories +3, budgetMilestone1[row]-1, MOD(budgetMilestone1[row]-1,numCategories+3) + IF(MOD(budgetMilestone1[row]-2,numCategories+2)&gt;numCategories+1, 1,0))</f>
        <v>5</v>
      </c>
      <c r="R111" s="60">
        <f>IFERROR(INDEX(directors[Last],MAX(1,FLOOR((budgetMilestone1[row]-1)/(numCategories+3)+1,1))),1)</f>
        <v>0</v>
      </c>
    </row>
    <row r="112" spans="1:18" ht="15" customHeight="1" x14ac:dyDescent="0.25">
      <c r="A112" s="105" t="str">
        <f ca="1"/>
        <v>Other</v>
      </c>
      <c r="B112" s="105">
        <f ca="1"/>
        <v>0</v>
      </c>
      <c r="C112" s="105">
        <f ca="1"/>
        <v>0</v>
      </c>
      <c r="D112" s="105">
        <f ca="1"/>
        <v>0</v>
      </c>
      <c r="E112" s="105">
        <f ca="1"/>
        <v>0</v>
      </c>
      <c r="F112" s="105">
        <f ca="1"/>
        <v>0</v>
      </c>
      <c r="G112" s="105">
        <f ca="1"/>
        <v>0</v>
      </c>
      <c r="I112"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Other</v>
      </c>
      <c r="J112" s="60">
        <f>SUMIFS(ARF[Amount in Euro], ARF[Co Director],budgetMilestone1[director], ARF[Category], budgetMilestone1[Category], ARF[Date], "&gt;" &amp; cleanDateKickoff,ARF[Date], "&lt;=" &amp; cleanDateMilestone1)</f>
        <v>0</v>
      </c>
      <c r="K112" s="85">
        <f ca="1">'Milestone 1'!$C112</f>
        <v>0</v>
      </c>
      <c r="L112" s="85">
        <f ca="1">'Milestone 1'!$D112</f>
        <v>0</v>
      </c>
      <c r="M112" s="85">
        <f ca="1">'Milestone 1'!$E112</f>
        <v>0</v>
      </c>
      <c r="N112" s="85">
        <f ca="1">'Milestone 1'!$F112</f>
        <v>0</v>
      </c>
      <c r="O112" s="60">
        <f ca="1">SUM(budgetMilestone1[[#This Row],[Milestone 1]:[Final]])</f>
        <v>0</v>
      </c>
      <c r="P112" s="61">
        <f>ROW()-ROW(budgetMilestone1[#Headers])</f>
        <v>95</v>
      </c>
      <c r="Q112" s="61">
        <f>IF(budgetMilestone1[row] &lt;= numCategories +3, budgetMilestone1[row]-1, MOD(budgetMilestone1[row]-1,numCategories+3) + IF(MOD(budgetMilestone1[row]-2,numCategories+2)&gt;numCategories+1, 1,0))</f>
        <v>6</v>
      </c>
      <c r="R112" s="60">
        <f>IFERROR(INDEX(directors[Last],MAX(1,FLOOR((budgetMilestone1[row]-1)/(numCategories+3)+1,1))),1)</f>
        <v>0</v>
      </c>
    </row>
    <row r="113" spans="1:18" ht="15" customHeight="1" x14ac:dyDescent="0.25">
      <c r="A113" s="105" t="str">
        <f ca="1"/>
        <v>Stipends</v>
      </c>
      <c r="B113" s="105">
        <f ca="1"/>
        <v>0</v>
      </c>
      <c r="C113" s="105">
        <f ca="1"/>
        <v>0</v>
      </c>
      <c r="D113" s="105">
        <f ca="1"/>
        <v>0</v>
      </c>
      <c r="E113" s="105">
        <f ca="1"/>
        <v>0</v>
      </c>
      <c r="F113" s="105">
        <f ca="1"/>
        <v>0</v>
      </c>
      <c r="G113" s="105">
        <f ca="1"/>
        <v>0</v>
      </c>
      <c r="I113"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Stipends</v>
      </c>
      <c r="J113" s="60">
        <f>SUMIFS(ARF[Amount in Euro], ARF[Co Director],budgetMilestone1[director], ARF[Category], budgetMilestone1[Category], ARF[Date], "&gt;" &amp; cleanDateKickoff,ARF[Date], "&lt;=" &amp; cleanDateMilestone1)</f>
        <v>0</v>
      </c>
      <c r="K113" s="85">
        <f ca="1">'Milestone 1'!$C113</f>
        <v>0</v>
      </c>
      <c r="L113" s="85">
        <f ca="1">'Milestone 1'!$D113</f>
        <v>0</v>
      </c>
      <c r="M113" s="85">
        <f ca="1">'Milestone 1'!$E113</f>
        <v>0</v>
      </c>
      <c r="N113" s="85">
        <f ca="1">'Milestone 1'!$F113</f>
        <v>0</v>
      </c>
      <c r="O113" s="60">
        <f ca="1">SUM(budgetMilestone1[[#This Row],[Milestone 1]:[Final]])</f>
        <v>0</v>
      </c>
      <c r="P113" s="61">
        <f>ROW()-ROW(budgetMilestone1[#Headers])</f>
        <v>96</v>
      </c>
      <c r="Q113" s="61">
        <f>IF(budgetMilestone1[row] &lt;= numCategories +3, budgetMilestone1[row]-1, MOD(budgetMilestone1[row]-1,numCategories+3) + IF(MOD(budgetMilestone1[row]-2,numCategories+2)&gt;numCategories+1, 1,0))</f>
        <v>7</v>
      </c>
      <c r="R113" s="60">
        <f>IFERROR(INDEX(directors[Last],MAX(1,FLOOR((budgetMilestone1[row]-1)/(numCategories+3)+1,1))),1)</f>
        <v>0</v>
      </c>
    </row>
    <row r="114" spans="1:18" ht="15" customHeight="1" x14ac:dyDescent="0.25">
      <c r="A114" s="105" t="str">
        <f ca="1"/>
        <v>Co-financing of personnel</v>
      </c>
      <c r="B114" s="105">
        <f ca="1"/>
        <v>0</v>
      </c>
      <c r="C114" s="105">
        <f ca="1"/>
        <v>0</v>
      </c>
      <c r="D114" s="105">
        <f ca="1"/>
        <v>0</v>
      </c>
      <c r="E114" s="105">
        <f ca="1"/>
        <v>0</v>
      </c>
      <c r="F114" s="105">
        <f ca="1"/>
        <v>0</v>
      </c>
      <c r="G114" s="105">
        <f ca="1"/>
        <v>0</v>
      </c>
      <c r="I114" s="60"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Co-financing of personnel</v>
      </c>
      <c r="J114" s="60">
        <f>SUMIFS(ARF[Amount in Euro], ARF[Co Director],budgetMilestone1[director], ARF[Category], budgetMilestone1[Category], ARF[Date], "&gt;" &amp; cleanDateKickoff,ARF[Date], "&lt;=" &amp; cleanDateMilestone1)</f>
        <v>0</v>
      </c>
      <c r="K114" s="85">
        <f ca="1">'Milestone 1'!$C114</f>
        <v>0</v>
      </c>
      <c r="L114" s="85">
        <f ca="1">'Milestone 1'!$D114</f>
        <v>0</v>
      </c>
      <c r="M114" s="85">
        <f ca="1">'Milestone 1'!$E114</f>
        <v>0</v>
      </c>
      <c r="N114" s="85">
        <f ca="1">'Milestone 1'!$F114</f>
        <v>0</v>
      </c>
      <c r="O114" s="60">
        <f ca="1">SUM(budgetMilestone1[[#This Row],[Milestone 1]:[Final]])</f>
        <v>0</v>
      </c>
      <c r="P114" s="60">
        <f>ROW()-ROW(budgetMilestone1[#Headers])</f>
        <v>97</v>
      </c>
      <c r="Q114" s="60">
        <f>IF(budgetMilestone1[row] &lt;= numCategories +3, budgetMilestone1[row]-1, MOD(budgetMilestone1[row]-1,numCategories+3) + IF(MOD(budgetMilestone1[row]-2,numCategories+2)&gt;numCategories+1, 1,0))</f>
        <v>8</v>
      </c>
      <c r="R114" s="60">
        <f>IFERROR(INDEX(directors[Last],MAX(1,FLOOR((budgetMilestone1[row]-1)/(numCategories+3)+1,1))),1)</f>
        <v>0</v>
      </c>
    </row>
    <row r="115" spans="1:18" ht="15" customHeight="1" x14ac:dyDescent="0.25">
      <c r="A115" s="105" t="str">
        <f ca="1"/>
        <v>Subtotal 0</v>
      </c>
      <c r="B115" s="105">
        <f ca="1"/>
        <v>0</v>
      </c>
      <c r="C115" s="105">
        <f ca="1"/>
        <v>0</v>
      </c>
      <c r="D115" s="105">
        <f ca="1"/>
        <v>0</v>
      </c>
      <c r="E115" s="105">
        <f ca="1"/>
        <v>0</v>
      </c>
      <c r="F115" s="105">
        <f ca="1"/>
        <v>0</v>
      </c>
      <c r="G115" s="105">
        <f ca="1"/>
        <v>0</v>
      </c>
      <c r="I115"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Subtotal 0</v>
      </c>
      <c r="J115" s="60">
        <f t="shared" ref="J115:O115" si="8">SUBTOTAL(9,J107:J114)</f>
        <v>0</v>
      </c>
      <c r="K115" s="60">
        <f t="shared" ca="1" si="8"/>
        <v>0</v>
      </c>
      <c r="L115" s="60">
        <f t="shared" ca="1" si="8"/>
        <v>0</v>
      </c>
      <c r="M115" s="60">
        <f t="shared" ca="1" si="8"/>
        <v>0</v>
      </c>
      <c r="N115" s="60">
        <f t="shared" ca="1" si="8"/>
        <v>0</v>
      </c>
      <c r="O115" s="60">
        <f t="shared" ca="1" si="8"/>
        <v>0</v>
      </c>
      <c r="P115" s="61">
        <f>ROW()-ROW(budgetMilestone1[#Headers])</f>
        <v>98</v>
      </c>
      <c r="Q115" s="61">
        <f>IF(budgetMilestone1[row] &lt;= numCategories +3, budgetMilestone1[row]-1, MOD(budgetMilestone1[row]-1,numCategories+3) + IF(MOD(budgetMilestone1[row]-2,numCategories+2)&gt;numCategories+1, 1,0))</f>
        <v>9</v>
      </c>
      <c r="R115" s="60">
        <f>IFERROR(INDEX(directors[Last],MAX(1,FLOOR((budgetMilestone1[row]-1)/(numCategories+3)+1,1))),1)</f>
        <v>0</v>
      </c>
    </row>
    <row r="116" spans="1:18" ht="15" customHeight="1" x14ac:dyDescent="0.25">
      <c r="A116" s="105" t="str">
        <f ca="1"/>
        <v/>
      </c>
      <c r="B116" s="105">
        <f ca="1"/>
        <v>0</v>
      </c>
      <c r="C116" s="105">
        <f ca="1"/>
        <v>0</v>
      </c>
      <c r="D116" s="105">
        <f ca="1"/>
        <v>0</v>
      </c>
      <c r="E116" s="105">
        <f ca="1"/>
        <v>0</v>
      </c>
      <c r="F116" s="105">
        <f ca="1"/>
        <v>0</v>
      </c>
      <c r="G116" s="105">
        <f ca="1"/>
        <v>0</v>
      </c>
      <c r="I116"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c>
      <c r="K116" s="85"/>
      <c r="L116" s="85"/>
      <c r="M116" s="85"/>
      <c r="N116" s="85"/>
      <c r="O116" s="60">
        <f>SUM(budgetMilestone1[[#This Row],[Milestone 1]:[Final]])</f>
        <v>0</v>
      </c>
      <c r="P116" s="61">
        <f>ROW()-ROW(budgetMilestone1[#Headers])</f>
        <v>99</v>
      </c>
      <c r="Q116" s="61">
        <f>IF(budgetMilestone1[row] &lt;= numCategories +3, budgetMilestone1[row]-1, MOD(budgetMilestone1[row]-1,numCategories+3) + IF(MOD(budgetMilestone1[row]-2,numCategories+2)&gt;numCategories+1, 1,0))</f>
        <v>10</v>
      </c>
      <c r="R116" s="60">
        <f>IFERROR(INDEX(directors[Last],MAX(1,FLOOR((budgetMilestone1[row]-1)/(numCategories+3)+1,1))),1)</f>
        <v>0</v>
      </c>
    </row>
    <row r="117" spans="1:18" ht="15" customHeight="1" x14ac:dyDescent="0.25">
      <c r="A117" s="119" t="str">
        <f ca="1"/>
        <v xml:space="preserve">0 / </v>
      </c>
      <c r="B117" s="119">
        <f ca="1"/>
        <v>0</v>
      </c>
      <c r="C117" s="119">
        <f ca="1"/>
        <v>0</v>
      </c>
      <c r="D117" s="119">
        <f ca="1"/>
        <v>0</v>
      </c>
      <c r="E117" s="119">
        <f ca="1"/>
        <v>0</v>
      </c>
      <c r="F117" s="119">
        <f ca="1"/>
        <v>0</v>
      </c>
      <c r="G117" s="119">
        <f ca="1"/>
        <v>0</v>
      </c>
      <c r="I117"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xml:space="preserve">0 / </v>
      </c>
      <c r="K117" s="85"/>
      <c r="L117" s="85"/>
      <c r="M117" s="85"/>
      <c r="N117" s="85"/>
      <c r="O117" s="60">
        <f>SUM(budgetMilestone1[[#This Row],[Milestone 1]:[Final]])</f>
        <v>0</v>
      </c>
      <c r="P117" s="61">
        <f>ROW()-ROW(budgetMilestone1[#Headers])</f>
        <v>100</v>
      </c>
      <c r="Q117" s="61">
        <f>IF(budgetMilestone1[row] &lt;= numCategories +3, budgetMilestone1[row]-1, MOD(budgetMilestone1[row]-1,numCategories+3) + IF(MOD(budgetMilestone1[row]-2,numCategories+2)&gt;numCategories+1, 1,0))</f>
        <v>0</v>
      </c>
      <c r="R117" s="60">
        <f>IFERROR(INDEX(directors[Last],MAX(1,FLOOR((budgetMilestone1[row]-1)/(numCategories+3)+1,1))),1)</f>
        <v>0</v>
      </c>
    </row>
    <row r="118" spans="1:18" x14ac:dyDescent="0.25">
      <c r="A118" s="119" t="str">
        <f ca="1"/>
        <v>Equipment</v>
      </c>
      <c r="B118" s="119">
        <f ca="1"/>
        <v>0</v>
      </c>
      <c r="C118" s="119">
        <f ca="1"/>
        <v>0</v>
      </c>
      <c r="D118" s="119">
        <f ca="1"/>
        <v>0</v>
      </c>
      <c r="E118" s="119">
        <f ca="1"/>
        <v>0</v>
      </c>
      <c r="F118" s="119">
        <f ca="1"/>
        <v>0</v>
      </c>
      <c r="G118" s="119">
        <f ca="1"/>
        <v>0</v>
      </c>
      <c r="I118"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Equipment</v>
      </c>
      <c r="J118" s="60">
        <f>SUMIFS(ARF[Amount in Euro], ARF[Co Director],budgetMilestone1[director], ARF[Category], budgetMilestone1[Category], ARF[Date], "&gt;" &amp; cleanDateKickoff,ARF[Date], "&lt;=" &amp; cleanDateMilestone1)</f>
        <v>0</v>
      </c>
      <c r="K118" s="85">
        <f ca="1">'Milestone 1'!$C118</f>
        <v>0</v>
      </c>
      <c r="L118" s="85">
        <f ca="1">'Milestone 1'!$D118</f>
        <v>0</v>
      </c>
      <c r="M118" s="85">
        <f ca="1">'Milestone 1'!$E118</f>
        <v>0</v>
      </c>
      <c r="N118" s="85">
        <f ca="1">'Milestone 1'!$F118</f>
        <v>0</v>
      </c>
      <c r="O118" s="60">
        <f ca="1">SUM(budgetMilestone1[[#This Row],[Milestone 1]:[Final]])</f>
        <v>0</v>
      </c>
      <c r="P118" s="179">
        <f>ROW()-ROW(budgetMilestone1[#Headers])</f>
        <v>101</v>
      </c>
      <c r="Q118" s="179">
        <f>IF(budgetMilestone1[row] &lt;= numCategories +3, budgetMilestone1[row]-1, MOD(budgetMilestone1[row]-1,numCategories+3) + IF(MOD(budgetMilestone1[row]-2,numCategories+2)&gt;numCategories+1, 1,0))</f>
        <v>1</v>
      </c>
      <c r="R118" s="60">
        <f>IFERROR(INDEX(directors[Last],MAX(1,FLOOR((budgetMilestone1[row]-1)/(numCategories+3)+1,1))),1)</f>
        <v>0</v>
      </c>
    </row>
    <row r="119" spans="1:18" x14ac:dyDescent="0.25">
      <c r="A119" s="119" t="str">
        <f ca="1"/>
        <v>Training</v>
      </c>
      <c r="B119" s="119">
        <f ca="1"/>
        <v>0</v>
      </c>
      <c r="C119" s="119">
        <f ca="1"/>
        <v>0</v>
      </c>
      <c r="D119" s="119">
        <f ca="1"/>
        <v>0</v>
      </c>
      <c r="E119" s="119">
        <f ca="1"/>
        <v>0</v>
      </c>
      <c r="F119" s="119">
        <f ca="1"/>
        <v>0</v>
      </c>
      <c r="G119" s="119">
        <f ca="1"/>
        <v>0</v>
      </c>
      <c r="I119"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Training</v>
      </c>
      <c r="J119" s="60">
        <f>SUMIFS(ARF[Amount in Euro], ARF[Co Director],budgetMilestone1[director], ARF[Category], budgetMilestone1[Category], ARF[Date], "&gt;" &amp; cleanDateKickoff,ARF[Date], "&lt;=" &amp; cleanDateMilestone1)</f>
        <v>0</v>
      </c>
      <c r="K119" s="85">
        <f ca="1">'Milestone 1'!$C119</f>
        <v>0</v>
      </c>
      <c r="L119" s="85">
        <f ca="1">'Milestone 1'!$D119</f>
        <v>0</v>
      </c>
      <c r="M119" s="85">
        <f ca="1">'Milestone 1'!$E119</f>
        <v>0</v>
      </c>
      <c r="N119" s="85">
        <f ca="1">'Milestone 1'!$F119</f>
        <v>0</v>
      </c>
      <c r="O119" s="60">
        <f ca="1">SUM(budgetMilestone1[[#This Row],[Milestone 1]:[Final]])</f>
        <v>0</v>
      </c>
      <c r="P119" s="179">
        <f>ROW()-ROW(budgetMilestone1[#Headers])</f>
        <v>102</v>
      </c>
      <c r="Q119" s="179">
        <f>IF(budgetMilestone1[row] &lt;= numCategories +3, budgetMilestone1[row]-1, MOD(budgetMilestone1[row]-1,numCategories+3) + IF(MOD(budgetMilestone1[row]-2,numCategories+2)&gt;numCategories+1, 1,0))</f>
        <v>2</v>
      </c>
      <c r="R119" s="60">
        <f>IFERROR(INDEX(directors[Last],MAX(1,FLOOR((budgetMilestone1[row]-1)/(numCategories+3)+1,1))),1)</f>
        <v>0</v>
      </c>
    </row>
    <row r="120" spans="1:18" x14ac:dyDescent="0.25">
      <c r="A120" s="119" t="str">
        <f ca="1"/>
        <v>Communication &amp; Publication</v>
      </c>
      <c r="B120" s="119">
        <f ca="1"/>
        <v>0</v>
      </c>
      <c r="C120" s="119">
        <f ca="1"/>
        <v>0</v>
      </c>
      <c r="D120" s="119">
        <f ca="1"/>
        <v>0</v>
      </c>
      <c r="E120" s="119">
        <f ca="1"/>
        <v>0</v>
      </c>
      <c r="F120" s="119">
        <f ca="1"/>
        <v>0</v>
      </c>
      <c r="G120" s="119">
        <f ca="1"/>
        <v>0</v>
      </c>
      <c r="I120"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Communication &amp; Publication</v>
      </c>
      <c r="J120" s="60">
        <f>SUMIFS(ARF[Amount in Euro], ARF[Co Director],budgetMilestone1[director], ARF[Category], budgetMilestone1[Category], ARF[Date], "&gt;" &amp; cleanDateKickoff,ARF[Date], "&lt;=" &amp; cleanDateMilestone1)</f>
        <v>0</v>
      </c>
      <c r="K120" s="85">
        <f ca="1">'Milestone 1'!$C120</f>
        <v>0</v>
      </c>
      <c r="L120" s="85">
        <f ca="1">'Milestone 1'!$D120</f>
        <v>0</v>
      </c>
      <c r="M120" s="85">
        <f ca="1">'Milestone 1'!$E120</f>
        <v>0</v>
      </c>
      <c r="N120" s="85">
        <f ca="1">'Milestone 1'!$F120</f>
        <v>0</v>
      </c>
      <c r="O120" s="60">
        <f ca="1">SUM(budgetMilestone1[[#This Row],[Milestone 1]:[Final]])</f>
        <v>0</v>
      </c>
      <c r="P120" s="179">
        <f>ROW()-ROW(budgetMilestone1[#Headers])</f>
        <v>103</v>
      </c>
      <c r="Q120" s="179">
        <f>IF(budgetMilestone1[row] &lt;= numCategories +3, budgetMilestone1[row]-1, MOD(budgetMilestone1[row]-1,numCategories+3) + IF(MOD(budgetMilestone1[row]-2,numCategories+2)&gt;numCategories+1, 1,0))</f>
        <v>3</v>
      </c>
      <c r="R120" s="60">
        <f>IFERROR(INDEX(directors[Last],MAX(1,FLOOR((budgetMilestone1[row]-1)/(numCategories+3)+1,1))),1)</f>
        <v>0</v>
      </c>
    </row>
    <row r="121" spans="1:18" x14ac:dyDescent="0.25">
      <c r="A121" s="119" t="str">
        <f ca="1"/>
        <v>Travel</v>
      </c>
      <c r="B121" s="119">
        <f ca="1"/>
        <v>0</v>
      </c>
      <c r="C121" s="119">
        <f ca="1"/>
        <v>0</v>
      </c>
      <c r="D121" s="119">
        <f ca="1"/>
        <v>0</v>
      </c>
      <c r="E121" s="119">
        <f ca="1"/>
        <v>0</v>
      </c>
      <c r="F121" s="119">
        <f ca="1"/>
        <v>0</v>
      </c>
      <c r="G121" s="119">
        <f ca="1"/>
        <v>0</v>
      </c>
      <c r="I121"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Travel</v>
      </c>
      <c r="J121" s="60">
        <f>SUMIFS(ARF[Amount in Euro], ARF[Co Director],budgetMilestone1[director], ARF[Category], budgetMilestone1[Category], ARF[Date], "&gt;" &amp; cleanDateKickoff,ARF[Date], "&lt;=" &amp; cleanDateMilestone1)</f>
        <v>0</v>
      </c>
      <c r="K121" s="85">
        <f ca="1">'Milestone 1'!$C121</f>
        <v>0</v>
      </c>
      <c r="L121" s="85">
        <f ca="1">'Milestone 1'!$D121</f>
        <v>0</v>
      </c>
      <c r="M121" s="85">
        <f ca="1">'Milestone 1'!$E121</f>
        <v>0</v>
      </c>
      <c r="N121" s="85">
        <f ca="1">'Milestone 1'!$F121</f>
        <v>0</v>
      </c>
      <c r="O121" s="60">
        <f ca="1">SUM(budgetMilestone1[[#This Row],[Milestone 1]:[Final]])</f>
        <v>0</v>
      </c>
      <c r="P121" s="179">
        <f>ROW()-ROW(budgetMilestone1[#Headers])</f>
        <v>104</v>
      </c>
      <c r="Q121" s="179">
        <f>IF(budgetMilestone1[row] &lt;= numCategories +3, budgetMilestone1[row]-1, MOD(budgetMilestone1[row]-1,numCategories+3) + IF(MOD(budgetMilestone1[row]-2,numCategories+2)&gt;numCategories+1, 1,0))</f>
        <v>4</v>
      </c>
      <c r="R121" s="60">
        <f>IFERROR(INDEX(directors[Last],MAX(1,FLOOR((budgetMilestone1[row]-1)/(numCategories+3)+1,1))),1)</f>
        <v>0</v>
      </c>
    </row>
    <row r="122" spans="1:18" x14ac:dyDescent="0.25">
      <c r="A122" s="119" t="str">
        <f ca="1"/>
        <v>Consumables</v>
      </c>
      <c r="B122" s="119">
        <f ca="1"/>
        <v>0</v>
      </c>
      <c r="C122" s="119">
        <f ca="1"/>
        <v>0</v>
      </c>
      <c r="D122" s="119">
        <f ca="1"/>
        <v>0</v>
      </c>
      <c r="E122" s="119">
        <f ca="1"/>
        <v>0</v>
      </c>
      <c r="F122" s="119">
        <f ca="1"/>
        <v>0</v>
      </c>
      <c r="G122" s="119">
        <f ca="1"/>
        <v>0</v>
      </c>
      <c r="I122"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Consumables</v>
      </c>
      <c r="J122" s="60">
        <f>SUMIFS(ARF[Amount in Euro], ARF[Co Director],budgetMilestone1[director], ARF[Category], budgetMilestone1[Category], ARF[Date], "&gt;" &amp; cleanDateKickoff,ARF[Date], "&lt;=" &amp; cleanDateMilestone1)</f>
        <v>0</v>
      </c>
      <c r="K122" s="85">
        <f ca="1">'Milestone 1'!$C122</f>
        <v>0</v>
      </c>
      <c r="L122" s="85">
        <f ca="1">'Milestone 1'!$D122</f>
        <v>0</v>
      </c>
      <c r="M122" s="85">
        <f ca="1">'Milestone 1'!$E122</f>
        <v>0</v>
      </c>
      <c r="N122" s="85">
        <f ca="1">'Milestone 1'!$F122</f>
        <v>0</v>
      </c>
      <c r="O122" s="60">
        <f ca="1">SUM(budgetMilestone1[[#This Row],[Milestone 1]:[Final]])</f>
        <v>0</v>
      </c>
      <c r="P122" s="179">
        <f>ROW()-ROW(budgetMilestone1[#Headers])</f>
        <v>105</v>
      </c>
      <c r="Q122" s="179">
        <f>IF(budgetMilestone1[row] &lt;= numCategories +3, budgetMilestone1[row]-1, MOD(budgetMilestone1[row]-1,numCategories+3) + IF(MOD(budgetMilestone1[row]-2,numCategories+2)&gt;numCategories+1, 1,0))</f>
        <v>5</v>
      </c>
      <c r="R122" s="60">
        <f>IFERROR(INDEX(directors[Last],MAX(1,FLOOR((budgetMilestone1[row]-1)/(numCategories+3)+1,1))),1)</f>
        <v>0</v>
      </c>
    </row>
    <row r="123" spans="1:18" x14ac:dyDescent="0.25">
      <c r="A123" s="119" t="str">
        <f ca="1"/>
        <v>Other</v>
      </c>
      <c r="B123" s="119">
        <f ca="1"/>
        <v>0</v>
      </c>
      <c r="C123" s="119">
        <f ca="1"/>
        <v>0</v>
      </c>
      <c r="D123" s="119">
        <f ca="1"/>
        <v>0</v>
      </c>
      <c r="E123" s="119">
        <f ca="1"/>
        <v>0</v>
      </c>
      <c r="F123" s="119">
        <f ca="1"/>
        <v>0</v>
      </c>
      <c r="G123" s="119">
        <f ca="1"/>
        <v>0</v>
      </c>
      <c r="I123"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Other</v>
      </c>
      <c r="J123" s="60">
        <f>SUMIFS(ARF[Amount in Euro], ARF[Co Director],budgetMilestone1[director], ARF[Category], budgetMilestone1[Category], ARF[Date], "&gt;" &amp; cleanDateKickoff,ARF[Date], "&lt;=" &amp; cleanDateMilestone1)</f>
        <v>0</v>
      </c>
      <c r="K123" s="85">
        <f ca="1">'Milestone 1'!$C123</f>
        <v>0</v>
      </c>
      <c r="L123" s="85">
        <f ca="1">'Milestone 1'!$D123</f>
        <v>0</v>
      </c>
      <c r="M123" s="85">
        <f ca="1">'Milestone 1'!$E123</f>
        <v>0</v>
      </c>
      <c r="N123" s="85">
        <f ca="1">'Milestone 1'!$F123</f>
        <v>0</v>
      </c>
      <c r="O123" s="60">
        <f ca="1">SUM(budgetMilestone1[[#This Row],[Milestone 1]:[Final]])</f>
        <v>0</v>
      </c>
      <c r="P123" s="179">
        <f>ROW()-ROW(budgetMilestone1[#Headers])</f>
        <v>106</v>
      </c>
      <c r="Q123" s="179">
        <f>IF(budgetMilestone1[row] &lt;= numCategories +3, budgetMilestone1[row]-1, MOD(budgetMilestone1[row]-1,numCategories+3) + IF(MOD(budgetMilestone1[row]-2,numCategories+2)&gt;numCategories+1, 1,0))</f>
        <v>6</v>
      </c>
      <c r="R123" s="60">
        <f>IFERROR(INDEX(directors[Last],MAX(1,FLOOR((budgetMilestone1[row]-1)/(numCategories+3)+1,1))),1)</f>
        <v>0</v>
      </c>
    </row>
    <row r="124" spans="1:18" x14ac:dyDescent="0.25">
      <c r="A124" s="119" t="str">
        <f ca="1"/>
        <v>Stipends</v>
      </c>
      <c r="B124" s="119">
        <f ca="1"/>
        <v>0</v>
      </c>
      <c r="C124" s="119">
        <f ca="1"/>
        <v>0</v>
      </c>
      <c r="D124" s="119">
        <f ca="1"/>
        <v>0</v>
      </c>
      <c r="E124" s="119">
        <f ca="1"/>
        <v>0</v>
      </c>
      <c r="F124" s="119">
        <f ca="1"/>
        <v>0</v>
      </c>
      <c r="G124" s="119">
        <f ca="1"/>
        <v>0</v>
      </c>
      <c r="I124"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Stipends</v>
      </c>
      <c r="J124" s="60">
        <f>SUMIFS(ARF[Amount in Euro], ARF[Co Director],budgetMilestone1[director], ARF[Category], budgetMilestone1[Category], ARF[Date], "&gt;" &amp; cleanDateKickoff,ARF[Date], "&lt;=" &amp; cleanDateMilestone1)</f>
        <v>0</v>
      </c>
      <c r="K124" s="85">
        <f ca="1">'Milestone 1'!$C124</f>
        <v>0</v>
      </c>
      <c r="L124" s="85">
        <f ca="1">'Milestone 1'!$D124</f>
        <v>0</v>
      </c>
      <c r="M124" s="85">
        <f ca="1">'Milestone 1'!$E124</f>
        <v>0</v>
      </c>
      <c r="N124" s="85">
        <f ca="1">'Milestone 1'!$F124</f>
        <v>0</v>
      </c>
      <c r="O124" s="60">
        <f ca="1">SUM(budgetMilestone1[[#This Row],[Milestone 1]:[Final]])</f>
        <v>0</v>
      </c>
      <c r="P124" s="179">
        <f>ROW()-ROW(budgetMilestone1[#Headers])</f>
        <v>107</v>
      </c>
      <c r="Q124" s="179">
        <f>IF(budgetMilestone1[row] &lt;= numCategories +3, budgetMilestone1[row]-1, MOD(budgetMilestone1[row]-1,numCategories+3) + IF(MOD(budgetMilestone1[row]-2,numCategories+2)&gt;numCategories+1, 1,0))</f>
        <v>7</v>
      </c>
      <c r="R124" s="60">
        <f>IFERROR(INDEX(directors[Last],MAX(1,FLOOR((budgetMilestone1[row]-1)/(numCategories+3)+1,1))),1)</f>
        <v>0</v>
      </c>
    </row>
    <row r="125" spans="1:18" x14ac:dyDescent="0.25">
      <c r="A125" s="119" t="str">
        <f ca="1"/>
        <v>Co-financing of personnel</v>
      </c>
      <c r="B125" s="119">
        <f ca="1"/>
        <v>0</v>
      </c>
      <c r="C125" s="119">
        <f ca="1"/>
        <v>0</v>
      </c>
      <c r="D125" s="119">
        <f ca="1"/>
        <v>0</v>
      </c>
      <c r="E125" s="119">
        <f ca="1"/>
        <v>0</v>
      </c>
      <c r="F125" s="119">
        <f ca="1"/>
        <v>0</v>
      </c>
      <c r="G125" s="119">
        <f ca="1"/>
        <v>0</v>
      </c>
      <c r="I125"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Co-financing of personnel</v>
      </c>
      <c r="J125" s="60">
        <f>SUMIFS(ARF[Amount in Euro], ARF[Co Director],budgetMilestone1[director], ARF[Category], budgetMilestone1[Category], ARF[Date], "&gt;" &amp; cleanDateKickoff,ARF[Date], "&lt;=" &amp; cleanDateMilestone1)</f>
        <v>0</v>
      </c>
      <c r="K125" s="85">
        <f ca="1">'Milestone 1'!$C125</f>
        <v>0</v>
      </c>
      <c r="L125" s="85">
        <f ca="1">'Milestone 1'!$D125</f>
        <v>0</v>
      </c>
      <c r="M125" s="85">
        <f ca="1">'Milestone 1'!$E125</f>
        <v>0</v>
      </c>
      <c r="N125" s="85">
        <f ca="1">'Milestone 1'!$F125</f>
        <v>0</v>
      </c>
      <c r="O125" s="60">
        <f ca="1">SUM(budgetMilestone1[[#This Row],[Milestone 1]:[Final]])</f>
        <v>0</v>
      </c>
      <c r="P125" s="179">
        <f>ROW()-ROW(budgetMilestone1[#Headers])</f>
        <v>108</v>
      </c>
      <c r="Q125" s="179">
        <f>IF(budgetMilestone1[row] &lt;= numCategories +3, budgetMilestone1[row]-1, MOD(budgetMilestone1[row]-1,numCategories+3) + IF(MOD(budgetMilestone1[row]-2,numCategories+2)&gt;numCategories+1, 1,0))</f>
        <v>8</v>
      </c>
      <c r="R125" s="60">
        <f>IFERROR(INDEX(directors[Last],MAX(1,FLOOR((budgetMilestone1[row]-1)/(numCategories+3)+1,1))),1)</f>
        <v>0</v>
      </c>
    </row>
    <row r="126" spans="1:18" x14ac:dyDescent="0.25">
      <c r="A126" s="119" t="str">
        <f ca="1"/>
        <v>Subtotal 0</v>
      </c>
      <c r="B126" s="119">
        <f ca="1"/>
        <v>0</v>
      </c>
      <c r="C126" s="119">
        <f ca="1"/>
        <v>0</v>
      </c>
      <c r="D126" s="119">
        <f ca="1"/>
        <v>0</v>
      </c>
      <c r="E126" s="119">
        <f ca="1"/>
        <v>0</v>
      </c>
      <c r="F126" s="119">
        <f ca="1"/>
        <v>0</v>
      </c>
      <c r="G126" s="119">
        <f ca="1"/>
        <v>0</v>
      </c>
      <c r="I126" s="61"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Subtotal 0</v>
      </c>
      <c r="J126" s="60">
        <f t="shared" ref="J126" si="9">SUBTOTAL(9,J118:J125)</f>
        <v>0</v>
      </c>
      <c r="K126" s="85">
        <f t="shared" ca="1" si="7"/>
        <v>0</v>
      </c>
      <c r="L126" s="85">
        <f t="shared" ca="1" si="7"/>
        <v>0</v>
      </c>
      <c r="M126" s="85">
        <f t="shared" ca="1" si="7"/>
        <v>0</v>
      </c>
      <c r="N126" s="85">
        <f t="shared" ca="1" si="7"/>
        <v>0</v>
      </c>
      <c r="O126" s="60">
        <f t="shared" ca="1" si="7"/>
        <v>0</v>
      </c>
      <c r="P126" s="179">
        <f>ROW()-ROW(budgetMilestone1[#Headers])</f>
        <v>109</v>
      </c>
      <c r="Q126" s="179">
        <f>IF(budgetMilestone1[row] &lt;= numCategories +3, budgetMilestone1[row]-1, MOD(budgetMilestone1[row]-1,numCategories+3) + IF(MOD(budgetMilestone1[row]-2,numCategories+2)&gt;numCategories+1, 1,0))</f>
        <v>9</v>
      </c>
      <c r="R126" s="60">
        <f>IFERROR(INDEX(directors[Last],MAX(1,FLOOR((budgetMilestone1[row]-1)/(numCategories+3)+1,1))),1)</f>
        <v>0</v>
      </c>
    </row>
    <row r="127" spans="1:18" x14ac:dyDescent="0.25">
      <c r="I127" s="179" t="str">
        <f>IF(budgetMilestone1[catIndex]=0, budgetMilestone1[director] &amp; " / " &amp; INDEX(directors[Country],MAX(1,FLOOR((budgetMilestone1[row]-2)/(numCategories+2)+1,1))), IF(budgetMilestone1[catIndex]= numCategories + 1, "Subtotal " &amp; budgetMilestone1[director], IF(budgetMilestone1[catIndex] = numCategories + 2, "", IFERROR(INDEX(categories[],budgetMilestone1[catIndex]), ""))))</f>
        <v/>
      </c>
      <c r="J127" s="179"/>
      <c r="K127" s="179"/>
      <c r="L127" s="179"/>
      <c r="M127" s="179"/>
      <c r="N127" s="179"/>
      <c r="O127" s="179">
        <f>SUM(budgetMilestone1[[#This Row],[Milestone 1]:[Final]])</f>
        <v>0</v>
      </c>
      <c r="P127" s="179">
        <f>ROW()-ROW(budgetMilestone1[#Headers])</f>
        <v>110</v>
      </c>
      <c r="Q127" s="179">
        <f>IF(budgetMilestone1[row] &lt;= numCategories +3, budgetMilestone1[row]-1, MOD(budgetMilestone1[row]-1,numCategories+3) + IF(MOD(budgetMilestone1[row]-2,numCategories+2)&gt;numCategories+1, 1,0))</f>
        <v>10</v>
      </c>
      <c r="R127" s="60">
        <f>IFERROR(INDEX(directors[Last],MAX(1,FLOOR((budgetMilestone1[row]-1)/(numCategories+3)+1,1))),1)</f>
        <v>0</v>
      </c>
    </row>
  </sheetData>
  <sheetProtection sheet="1" selectLockedCells="1"/>
  <mergeCells count="10">
    <mergeCell ref="A4:G4"/>
    <mergeCell ref="I4:O4"/>
    <mergeCell ref="A1:B1"/>
    <mergeCell ref="D1:G1"/>
    <mergeCell ref="I1:K1"/>
    <mergeCell ref="L1:M1"/>
    <mergeCell ref="A2:B2"/>
    <mergeCell ref="D2:G2"/>
    <mergeCell ref="I2:K2"/>
    <mergeCell ref="L2:M2"/>
  </mergeCells>
  <conditionalFormatting sqref="A18:G126 I18:R127">
    <cfRule type="expression" dxfId="289" priority="2" stopIfTrue="1">
      <formula>$Q18=10</formula>
    </cfRule>
    <cfRule type="expression" dxfId="288" priority="5">
      <formula>AND(CELL("Protect",A18)=0,ISODD(CELL("Row",A18)))</formula>
    </cfRule>
    <cfRule type="expression" dxfId="287" priority="6">
      <formula>AND(CELL("Protect",A18)=0,ISEVEN(CELL("Row",A18)))</formula>
    </cfRule>
  </conditionalFormatting>
  <conditionalFormatting sqref="A7:G14 A18:G126">
    <cfRule type="expression" dxfId="286" priority="28">
      <formula>ISODD(CELL("row",A7))</formula>
    </cfRule>
    <cfRule type="expression" dxfId="285" priority="29">
      <formula>ISEVEN(CELL("row",A7))</formula>
    </cfRule>
  </conditionalFormatting>
  <conditionalFormatting sqref="A7:G14 A18:G126 I18:R127">
    <cfRule type="expression" dxfId="284" priority="3" stopIfTrue="1">
      <formula>ISNUMBER(SEARCH("Subtotal",$I7))</formula>
    </cfRule>
  </conditionalFormatting>
  <conditionalFormatting sqref="A18:G126 I18:R127">
    <cfRule type="expression" dxfId="283" priority="4" stopIfTrue="1">
      <formula>$Q18=0</formula>
    </cfRule>
  </conditionalFormatting>
  <conditionalFormatting sqref="R118:R127 A39:G126 I39:R117 I115:I126 J117:J126 K116:N126 O112:O126">
    <cfRule type="expression" dxfId="282" priority="1" stopIfTrue="1">
      <formula>LEN($R39)&lt;=3</formula>
    </cfRule>
  </conditionalFormatting>
  <dataValidations count="1">
    <dataValidation type="decimal" operator="greaterThanOrEqual" allowBlank="1" showInputMessage="1" showErrorMessage="1" errorTitle="Numbers only" error="Please enter numbers only." sqref="K19:N37 L49:O49 L39:N48 K39:K59 L50:N59 K61:N81 K83:N103 K105:N125 O71 O93 O115 J49 J71 J93 J115">
      <formula1>0</formula1>
    </dataValidation>
  </dataValidations>
  <pageMargins left="0.7" right="0.7" top="0.75" bottom="0.75" header="0.3" footer="0.3"/>
  <pageSetup paperSize="9" orientation="portrait"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7"/>
  <sheetViews>
    <sheetView showZeros="0" topLeftCell="A10" zoomScaleNormal="100" workbookViewId="0">
      <selection activeCell="L32" sqref="L32"/>
    </sheetView>
  </sheetViews>
  <sheetFormatPr defaultRowHeight="15" x14ac:dyDescent="0.25"/>
  <cols>
    <col min="1" max="1" width="29.5703125" customWidth="1"/>
    <col min="2" max="7" width="9.85546875" customWidth="1"/>
    <col min="8" max="8" width="1.7109375" customWidth="1"/>
    <col min="9" max="9" width="29.5703125" customWidth="1"/>
    <col min="10" max="15" width="9.85546875" customWidth="1"/>
    <col min="16" max="18" width="13.5703125" hidden="1" customWidth="1"/>
    <col min="19" max="19" width="1.7109375" customWidth="1"/>
  </cols>
  <sheetData>
    <row r="1" spans="1:18" ht="26.25" thickBot="1" x14ac:dyDescent="0.3">
      <c r="A1" s="182" t="s">
        <v>387</v>
      </c>
      <c r="B1" s="183"/>
      <c r="C1" s="73" t="s">
        <v>447</v>
      </c>
      <c r="D1" s="191" t="s">
        <v>400</v>
      </c>
      <c r="E1" s="192"/>
      <c r="F1" s="192"/>
      <c r="G1" s="192"/>
      <c r="H1" s="74"/>
      <c r="I1" s="182" t="s">
        <v>473</v>
      </c>
      <c r="J1" s="182"/>
      <c r="K1" s="183"/>
      <c r="L1" s="207" t="s">
        <v>387</v>
      </c>
      <c r="M1" s="207"/>
      <c r="N1" s="73" t="s">
        <v>447</v>
      </c>
      <c r="O1" s="146" t="s">
        <v>495</v>
      </c>
      <c r="P1" s="60"/>
      <c r="Q1" s="60"/>
      <c r="R1" s="60"/>
    </row>
    <row r="2" spans="1:18" ht="26.25" customHeight="1" x14ac:dyDescent="0.25">
      <c r="A2" s="187">
        <f>spsRefNo</f>
        <v>0</v>
      </c>
      <c r="B2" s="188"/>
      <c r="C2" s="75">
        <f>approvedBudget</f>
        <v>0</v>
      </c>
      <c r="D2" s="189">
        <f>projectTitle</f>
        <v>0</v>
      </c>
      <c r="E2" s="190"/>
      <c r="F2" s="190"/>
      <c r="G2" s="190"/>
      <c r="H2" s="60"/>
      <c r="I2" s="193">
        <f>shortTitle</f>
        <v>0</v>
      </c>
      <c r="J2" s="193"/>
      <c r="K2" s="194"/>
      <c r="L2" s="208">
        <f>spsRefNo</f>
        <v>0</v>
      </c>
      <c r="M2" s="208"/>
      <c r="N2" s="75">
        <f>approvedBudget</f>
        <v>0</v>
      </c>
      <c r="O2" s="75">
        <f ca="1">(1.1*budgetMilestone2Overall[[#Totals],[Milestone 3]])-AccountBalance</f>
        <v>0</v>
      </c>
      <c r="P2" s="60"/>
      <c r="Q2" s="60"/>
      <c r="R2" s="60"/>
    </row>
    <row r="3" spans="1:18" ht="15" customHeight="1" x14ac:dyDescent="0.25"/>
    <row r="4" spans="1:18" ht="26.25" customHeight="1" x14ac:dyDescent="0.25">
      <c r="A4" s="186" t="s">
        <v>475</v>
      </c>
      <c r="B4" s="186"/>
      <c r="C4" s="186"/>
      <c r="D4" s="186"/>
      <c r="E4" s="186"/>
      <c r="F4" s="186"/>
      <c r="G4" s="186"/>
      <c r="H4" s="60"/>
      <c r="I4" s="186" t="s">
        <v>476</v>
      </c>
      <c r="J4" s="186"/>
      <c r="K4" s="186"/>
      <c r="L4" s="186"/>
      <c r="M4" s="186"/>
      <c r="N4" s="186"/>
      <c r="O4" s="186"/>
      <c r="P4" s="60"/>
      <c r="Q4" s="60"/>
      <c r="R4" s="60"/>
    </row>
    <row r="5" spans="1:18" ht="15" customHeight="1" x14ac:dyDescent="0.25"/>
    <row r="6" spans="1:18" ht="26.25" thickBot="1" x14ac:dyDescent="0.3">
      <c r="A6" s="106" t="str">
        <f t="array" ref="A6:G126" ca="1">OFFSET(budgetMilestone1Overall[[#Headers],[Category]],0,0,121,7)</f>
        <v>Category</v>
      </c>
      <c r="B6" s="106" t="str">
        <f ca="1"/>
        <v>Milestone 1</v>
      </c>
      <c r="C6" s="106" t="str">
        <f ca="1"/>
        <v>Milestone 2</v>
      </c>
      <c r="D6" s="106" t="str">
        <f ca="1"/>
        <v>Milestone 3</v>
      </c>
      <c r="E6" s="106" t="str">
        <f ca="1"/>
        <v>Milestone 4</v>
      </c>
      <c r="F6" s="106" t="str">
        <f ca="1"/>
        <v>Final</v>
      </c>
      <c r="G6" s="107" t="str">
        <f ca="1"/>
        <v>Total</v>
      </c>
      <c r="H6" s="60"/>
      <c r="I6" s="62" t="s">
        <v>395</v>
      </c>
      <c r="J6" s="72" t="s">
        <v>407</v>
      </c>
      <c r="K6" s="72" t="s">
        <v>408</v>
      </c>
      <c r="L6" s="72" t="s">
        <v>409</v>
      </c>
      <c r="M6" s="72" t="s">
        <v>485</v>
      </c>
      <c r="N6" s="62" t="s">
        <v>410</v>
      </c>
      <c r="O6" s="62" t="s">
        <v>403</v>
      </c>
      <c r="P6" s="62"/>
      <c r="Q6" s="62"/>
      <c r="R6" s="62"/>
    </row>
    <row r="7" spans="1:18" ht="15" customHeight="1" thickTop="1" x14ac:dyDescent="0.25">
      <c r="A7" s="105" t="str">
        <f ca="1"/>
        <v>Equipment</v>
      </c>
      <c r="B7" s="105">
        <f ca="1"/>
        <v>0</v>
      </c>
      <c r="C7" s="105">
        <f ca="1"/>
        <v>0</v>
      </c>
      <c r="D7" s="105">
        <f ca="1"/>
        <v>0</v>
      </c>
      <c r="E7" s="105">
        <f ca="1"/>
        <v>0</v>
      </c>
      <c r="F7" s="105">
        <f ca="1"/>
        <v>0</v>
      </c>
      <c r="G7" s="120">
        <f ca="1"/>
        <v>0</v>
      </c>
      <c r="H7" s="60"/>
      <c r="I7" s="60" t="str">
        <f>INDEX(categories[Expense Categories],ROW()-ROW(budgetMilestone2Overall[#Headers]))</f>
        <v>Equipment</v>
      </c>
      <c r="J7" s="60">
        <f>SUMIFS(budgetMilestone2[Milestone 1],budgetMilestone2[Category],budgetMilestone2Overall[[#This Row],[Category]],budgetMilestone2[director], "&lt;&gt;1")</f>
        <v>0</v>
      </c>
      <c r="K7" s="60">
        <f>SUMIFS(budgetMilestone2[Milestone 2],budgetMilestone2[Category],budgetMilestone2Overall[[#This Row],[Category]],budgetMilestone2[director], "&lt;&gt;1")</f>
        <v>0</v>
      </c>
      <c r="L7" s="60">
        <f ca="1">SUMIFS(budgetMilestone2[Milestone 3],budgetMilestone2[Category],budgetMilestone2Overall[[#This Row],[Category]],budgetMilestone2[director], "&lt;&gt;1")</f>
        <v>0</v>
      </c>
      <c r="M7" s="60">
        <f ca="1">SUMIFS(budgetMilestone2[Milestone 4],budgetMilestone2[Category],budgetMilestone2Overall[[#This Row],[Category]],budgetMilestone2[director], "&lt;&gt;1")</f>
        <v>0</v>
      </c>
      <c r="N7" s="60">
        <f ca="1">SUMIFS(budgetMilestone2[Final],budgetMilestone2[Category],budgetMilestone2Overall[[#This Row],[Category]],budgetMilestone2[director], "&lt;&gt;1")</f>
        <v>0</v>
      </c>
      <c r="O7" s="60">
        <f ca="1">SUM(budgetMilestone2Overall[[#This Row],[Milestone 1]:[Final]])</f>
        <v>0</v>
      </c>
      <c r="P7" s="60"/>
      <c r="Q7" s="60"/>
      <c r="R7" s="60"/>
    </row>
    <row r="8" spans="1:18" ht="15" customHeight="1" x14ac:dyDescent="0.25">
      <c r="A8" s="105" t="str">
        <f ca="1"/>
        <v>Training</v>
      </c>
      <c r="B8" s="105">
        <f ca="1"/>
        <v>0</v>
      </c>
      <c r="C8" s="105">
        <f ca="1"/>
        <v>0</v>
      </c>
      <c r="D8" s="105">
        <f ca="1"/>
        <v>0</v>
      </c>
      <c r="E8" s="105">
        <f ca="1"/>
        <v>0</v>
      </c>
      <c r="F8" s="105">
        <f ca="1"/>
        <v>0</v>
      </c>
      <c r="G8" s="120">
        <f ca="1"/>
        <v>0</v>
      </c>
      <c r="H8" s="60"/>
      <c r="I8" s="60" t="str">
        <f>INDEX(categories[Expense Categories],ROW()-ROW(budgetMilestone2Overall[#Headers]))</f>
        <v>Training</v>
      </c>
      <c r="J8" s="60">
        <f>SUMIFS(budgetMilestone2[Milestone 1],budgetMilestone2[Category],budgetMilestone2Overall[[#This Row],[Category]],budgetMilestone2[director], "&lt;&gt;1")</f>
        <v>0</v>
      </c>
      <c r="K8" s="60">
        <f>SUMIFS(budgetMilestone2[Milestone 2],budgetMilestone2[Category],budgetMilestone2Overall[[#This Row],[Category]],budgetMilestone2[director], "&lt;&gt;1")</f>
        <v>0</v>
      </c>
      <c r="L8" s="60">
        <f ca="1">SUMIFS(budgetMilestone2[Milestone 3],budgetMilestone2[Category],budgetMilestone2Overall[[#This Row],[Category]],budgetMilestone2[director], "&lt;&gt;1")</f>
        <v>0</v>
      </c>
      <c r="M8" s="60">
        <f ca="1">SUMIFS(budgetMilestone2[Milestone 4],budgetMilestone2[Category],budgetMilestone2Overall[[#This Row],[Category]],budgetMilestone2[director], "&lt;&gt;1")</f>
        <v>0</v>
      </c>
      <c r="N8" s="60">
        <f ca="1">SUMIFS(budgetMilestone2[Final],budgetMilestone2[Category],budgetMilestone2Overall[[#This Row],[Category]],budgetMilestone2[director], "&lt;&gt;1")</f>
        <v>0</v>
      </c>
      <c r="O8" s="60">
        <f ca="1">SUM(budgetMilestone2Overall[[#This Row],[Milestone 1]:[Final]])</f>
        <v>0</v>
      </c>
      <c r="P8" s="60"/>
      <c r="Q8" s="60"/>
      <c r="R8" s="60"/>
    </row>
    <row r="9" spans="1:18" ht="15" customHeight="1" x14ac:dyDescent="0.25">
      <c r="A9" s="105" t="str">
        <f ca="1"/>
        <v>Communication &amp; Publication</v>
      </c>
      <c r="B9" s="105">
        <f ca="1"/>
        <v>0</v>
      </c>
      <c r="C9" s="105">
        <f ca="1"/>
        <v>0</v>
      </c>
      <c r="D9" s="105">
        <f ca="1"/>
        <v>0</v>
      </c>
      <c r="E9" s="105">
        <f ca="1"/>
        <v>0</v>
      </c>
      <c r="F9" s="105">
        <f ca="1"/>
        <v>0</v>
      </c>
      <c r="G9" s="120">
        <f ca="1"/>
        <v>0</v>
      </c>
      <c r="H9" s="60"/>
      <c r="I9" s="60" t="str">
        <f>INDEX(categories[Expense Categories],ROW()-ROW(budgetMilestone2Overall[#Headers]))</f>
        <v>Communication &amp; Publication</v>
      </c>
      <c r="J9" s="60">
        <f>SUMIFS(budgetMilestone2[Milestone 1],budgetMilestone2[Category],budgetMilestone2Overall[[#This Row],[Category]],budgetMilestone2[director], "&lt;&gt;1")</f>
        <v>0</v>
      </c>
      <c r="K9" s="60">
        <f>SUMIFS(budgetMilestone2[Milestone 2],budgetMilestone2[Category],budgetMilestone2Overall[[#This Row],[Category]],budgetMilestone2[director], "&lt;&gt;1")</f>
        <v>0</v>
      </c>
      <c r="L9" s="60">
        <f ca="1">SUMIFS(budgetMilestone2[Milestone 3],budgetMilestone2[Category],budgetMilestone2Overall[[#This Row],[Category]],budgetMilestone2[director], "&lt;&gt;1")</f>
        <v>0</v>
      </c>
      <c r="M9" s="60">
        <f ca="1">SUMIFS(budgetMilestone2[Milestone 4],budgetMilestone2[Category],budgetMilestone2Overall[[#This Row],[Category]],budgetMilestone2[director], "&lt;&gt;1")</f>
        <v>0</v>
      </c>
      <c r="N9" s="60">
        <f ca="1">SUMIFS(budgetMilestone2[Final],budgetMilestone2[Category],budgetMilestone2Overall[[#This Row],[Category]],budgetMilestone2[director], "&lt;&gt;1")</f>
        <v>0</v>
      </c>
      <c r="O9" s="60">
        <f ca="1">SUM(budgetMilestone2Overall[[#This Row],[Milestone 1]:[Final]])</f>
        <v>0</v>
      </c>
      <c r="P9" s="60"/>
      <c r="Q9" s="60"/>
      <c r="R9" s="60"/>
    </row>
    <row r="10" spans="1:18" ht="15" customHeight="1" x14ac:dyDescent="0.25">
      <c r="A10" s="105" t="str">
        <f ca="1"/>
        <v>Travel</v>
      </c>
      <c r="B10" s="105">
        <f ca="1"/>
        <v>0</v>
      </c>
      <c r="C10" s="105">
        <f ca="1"/>
        <v>0</v>
      </c>
      <c r="D10" s="105">
        <f ca="1"/>
        <v>0</v>
      </c>
      <c r="E10" s="105">
        <f ca="1"/>
        <v>0</v>
      </c>
      <c r="F10" s="105">
        <f ca="1"/>
        <v>0</v>
      </c>
      <c r="G10" s="120">
        <f ca="1"/>
        <v>0</v>
      </c>
      <c r="H10" s="60"/>
      <c r="I10" s="60" t="str">
        <f>INDEX(categories[Expense Categories],ROW()-ROW(budgetMilestone2Overall[#Headers]))</f>
        <v>Travel</v>
      </c>
      <c r="J10" s="60">
        <f>SUMIFS(budgetMilestone2[Milestone 1],budgetMilestone2[Category],budgetMilestone2Overall[[#This Row],[Category]],budgetMilestone2[director], "&lt;&gt;1")</f>
        <v>0</v>
      </c>
      <c r="K10" s="60">
        <f>SUMIFS(budgetMilestone2[Milestone 2],budgetMilestone2[Category],budgetMilestone2Overall[[#This Row],[Category]],budgetMilestone2[director], "&lt;&gt;1")</f>
        <v>0</v>
      </c>
      <c r="L10" s="60">
        <f ca="1">SUMIFS(budgetMilestone2[Milestone 3],budgetMilestone2[Category],budgetMilestone2Overall[[#This Row],[Category]],budgetMilestone2[director], "&lt;&gt;1")</f>
        <v>0</v>
      </c>
      <c r="M10" s="60">
        <f ca="1">SUMIFS(budgetMilestone2[Milestone 4],budgetMilestone2[Category],budgetMilestone2Overall[[#This Row],[Category]],budgetMilestone2[director], "&lt;&gt;1")</f>
        <v>0</v>
      </c>
      <c r="N10" s="60">
        <f ca="1">SUMIFS(budgetMilestone2[Final],budgetMilestone2[Category],budgetMilestone2Overall[[#This Row],[Category]],budgetMilestone2[director], "&lt;&gt;1")</f>
        <v>0</v>
      </c>
      <c r="O10" s="60">
        <f ca="1">SUM(budgetMilestone2Overall[[#This Row],[Milestone 1]:[Final]])</f>
        <v>0</v>
      </c>
      <c r="P10" s="60"/>
      <c r="Q10" s="60"/>
      <c r="R10" s="60"/>
    </row>
    <row r="11" spans="1:18" ht="15" customHeight="1" x14ac:dyDescent="0.25">
      <c r="A11" s="105" t="str">
        <f ca="1"/>
        <v>Consumables</v>
      </c>
      <c r="B11" s="105">
        <f ca="1"/>
        <v>0</v>
      </c>
      <c r="C11" s="105">
        <f ca="1"/>
        <v>0</v>
      </c>
      <c r="D11" s="105">
        <f ca="1"/>
        <v>0</v>
      </c>
      <c r="E11" s="105">
        <f ca="1"/>
        <v>0</v>
      </c>
      <c r="F11" s="105">
        <f ca="1"/>
        <v>0</v>
      </c>
      <c r="G11" s="120">
        <f ca="1"/>
        <v>0</v>
      </c>
      <c r="H11" s="60"/>
      <c r="I11" s="60" t="str">
        <f>INDEX(categories[Expense Categories],ROW()-ROW(budgetMilestone2Overall[#Headers]))</f>
        <v>Consumables</v>
      </c>
      <c r="J11" s="60">
        <f>SUMIFS(budgetMilestone2[Milestone 1],budgetMilestone2[Category],budgetMilestone2Overall[[#This Row],[Category]],budgetMilestone2[director], "&lt;&gt;1")</f>
        <v>0</v>
      </c>
      <c r="K11" s="60">
        <f>SUMIFS(budgetMilestone2[Milestone 2],budgetMilestone2[Category],budgetMilestone2Overall[[#This Row],[Category]],budgetMilestone2[director], "&lt;&gt;1")</f>
        <v>0</v>
      </c>
      <c r="L11" s="60">
        <f ca="1">SUMIFS(budgetMilestone2[Milestone 3],budgetMilestone2[Category],budgetMilestone2Overall[[#This Row],[Category]],budgetMilestone2[director], "&lt;&gt;1")</f>
        <v>0</v>
      </c>
      <c r="M11" s="60">
        <f ca="1">SUMIFS(budgetMilestone2[Milestone 4],budgetMilestone2[Category],budgetMilestone2Overall[[#This Row],[Category]],budgetMilestone2[director], "&lt;&gt;1")</f>
        <v>0</v>
      </c>
      <c r="N11" s="60">
        <f ca="1">SUMIFS(budgetMilestone2[Final],budgetMilestone2[Category],budgetMilestone2Overall[[#This Row],[Category]],budgetMilestone2[director], "&lt;&gt;1")</f>
        <v>0</v>
      </c>
      <c r="O11" s="60">
        <f ca="1">SUM(budgetMilestone2Overall[[#This Row],[Milestone 1]:[Final]])</f>
        <v>0</v>
      </c>
      <c r="P11" s="60"/>
      <c r="Q11" s="60"/>
      <c r="R11" s="60"/>
    </row>
    <row r="12" spans="1:18" ht="15" customHeight="1" x14ac:dyDescent="0.25">
      <c r="A12" s="105" t="str">
        <f ca="1"/>
        <v>Other</v>
      </c>
      <c r="B12" s="105">
        <f ca="1"/>
        <v>0</v>
      </c>
      <c r="C12" s="105">
        <f ca="1"/>
        <v>0</v>
      </c>
      <c r="D12" s="105">
        <f ca="1"/>
        <v>0</v>
      </c>
      <c r="E12" s="105">
        <f ca="1"/>
        <v>0</v>
      </c>
      <c r="F12" s="105">
        <f ca="1"/>
        <v>0</v>
      </c>
      <c r="G12" s="120">
        <f ca="1"/>
        <v>0</v>
      </c>
      <c r="H12" s="60"/>
      <c r="I12" s="60" t="str">
        <f>INDEX(categories[Expense Categories],ROW()-ROW(budgetMilestone2Overall[#Headers]))</f>
        <v>Other</v>
      </c>
      <c r="J12" s="60">
        <f>SUMIFS(budgetMilestone2[Milestone 1],budgetMilestone2[Category],budgetMilestone2Overall[[#This Row],[Category]],budgetMilestone2[director], "&lt;&gt;1")</f>
        <v>0</v>
      </c>
      <c r="K12" s="60">
        <f>SUMIFS(budgetMilestone2[Milestone 2],budgetMilestone2[Category],budgetMilestone2Overall[[#This Row],[Category]],budgetMilestone2[director], "&lt;&gt;1")</f>
        <v>0</v>
      </c>
      <c r="L12" s="60">
        <f ca="1">SUMIFS(budgetMilestone2[Milestone 3],budgetMilestone2[Category],budgetMilestone2Overall[[#This Row],[Category]],budgetMilestone2[director], "&lt;&gt;1")</f>
        <v>0</v>
      </c>
      <c r="M12" s="60">
        <f ca="1">SUMIFS(budgetMilestone2[Milestone 4],budgetMilestone2[Category],budgetMilestone2Overall[[#This Row],[Category]],budgetMilestone2[director], "&lt;&gt;1")</f>
        <v>0</v>
      </c>
      <c r="N12" s="60">
        <f ca="1">SUMIFS(budgetMilestone2[Final],budgetMilestone2[Category],budgetMilestone2Overall[[#This Row],[Category]],budgetMilestone2[director], "&lt;&gt;1")</f>
        <v>0</v>
      </c>
      <c r="O12" s="60">
        <f ca="1">SUM(budgetMilestone2Overall[[#This Row],[Milestone 1]:[Final]])</f>
        <v>0</v>
      </c>
      <c r="P12" s="60"/>
      <c r="Q12" s="60"/>
      <c r="R12" s="60"/>
    </row>
    <row r="13" spans="1:18" ht="15" customHeight="1" x14ac:dyDescent="0.25">
      <c r="A13" s="105" t="str">
        <f ca="1"/>
        <v>Stipends</v>
      </c>
      <c r="B13" s="105">
        <f ca="1"/>
        <v>0</v>
      </c>
      <c r="C13" s="105">
        <f ca="1"/>
        <v>0</v>
      </c>
      <c r="D13" s="105">
        <f ca="1"/>
        <v>0</v>
      </c>
      <c r="E13" s="105">
        <f ca="1"/>
        <v>0</v>
      </c>
      <c r="F13" s="105">
        <f ca="1"/>
        <v>0</v>
      </c>
      <c r="G13" s="120">
        <f ca="1"/>
        <v>0</v>
      </c>
      <c r="H13" s="60"/>
      <c r="I13" s="60" t="str">
        <f>INDEX(categories[Expense Categories],ROW()-ROW(budgetMilestone2Overall[#Headers]))</f>
        <v>Stipends</v>
      </c>
      <c r="J13" s="60">
        <f>SUMIFS(budgetMilestone2[Milestone 1],budgetMilestone2[Category],budgetMilestone2Overall[[#This Row],[Category]],budgetMilestone2[director], "&lt;&gt;1")</f>
        <v>0</v>
      </c>
      <c r="K13" s="60">
        <f>SUMIFS(budgetMilestone2[Milestone 2],budgetMilestone2[Category],budgetMilestone2Overall[[#This Row],[Category]],budgetMilestone2[director], "&lt;&gt;1")</f>
        <v>0</v>
      </c>
      <c r="L13" s="60">
        <f ca="1">SUMIFS(budgetMilestone2[Milestone 3],budgetMilestone2[Category],budgetMilestone2Overall[[#This Row],[Category]],budgetMilestone2[director], "&lt;&gt;1")</f>
        <v>0</v>
      </c>
      <c r="M13" s="60">
        <f ca="1">SUMIFS(budgetMilestone2[Milestone 4],budgetMilestone2[Category],budgetMilestone2Overall[[#This Row],[Category]],budgetMilestone2[director], "&lt;&gt;1")</f>
        <v>0</v>
      </c>
      <c r="N13" s="60">
        <f ca="1">SUMIFS(budgetMilestone2[Final],budgetMilestone2[Category],budgetMilestone2Overall[[#This Row],[Category]],budgetMilestone2[director], "&lt;&gt;1")</f>
        <v>0</v>
      </c>
      <c r="O13" s="60">
        <f ca="1">SUM(budgetMilestone2Overall[[#This Row],[Milestone 1]:[Final]])</f>
        <v>0</v>
      </c>
      <c r="P13" s="60"/>
      <c r="Q13" s="60"/>
      <c r="R13" s="60"/>
    </row>
    <row r="14" spans="1:18" ht="15" customHeight="1" thickBot="1" x14ac:dyDescent="0.3">
      <c r="A14" s="119" t="str">
        <f ca="1"/>
        <v>Co-financing of personnel</v>
      </c>
      <c r="B14" s="119">
        <f ca="1"/>
        <v>0</v>
      </c>
      <c r="C14" s="119">
        <f ca="1"/>
        <v>0</v>
      </c>
      <c r="D14" s="119">
        <f ca="1"/>
        <v>0</v>
      </c>
      <c r="E14" s="119">
        <f ca="1"/>
        <v>0</v>
      </c>
      <c r="F14" s="119">
        <f ca="1"/>
        <v>0</v>
      </c>
      <c r="G14" s="121">
        <f ca="1"/>
        <v>0</v>
      </c>
      <c r="H14" s="60"/>
      <c r="I14" s="60" t="str">
        <f>INDEX(categories[Expense Categories],ROW()-ROW(budgetMilestone2Overall[#Headers]))</f>
        <v>Co-financing of personnel</v>
      </c>
      <c r="J14" s="60">
        <f>SUMIFS(budgetMilestone2[Milestone 1],budgetMilestone2[Category],budgetMilestone2Overall[[#This Row],[Category]],budgetMilestone2[director], "&lt;&gt;1")</f>
        <v>0</v>
      </c>
      <c r="K14" s="60">
        <f>SUMIFS(budgetMilestone2[Milestone 2],budgetMilestone2[Category],budgetMilestone2Overall[[#This Row],[Category]],budgetMilestone2[director], "&lt;&gt;1")</f>
        <v>0</v>
      </c>
      <c r="L14" s="60">
        <f ca="1">SUMIFS(budgetMilestone2[Milestone 3],budgetMilestone2[Category],budgetMilestone2Overall[[#This Row],[Category]],budgetMilestone2[director], "&lt;&gt;1")</f>
        <v>0</v>
      </c>
      <c r="M14" s="60">
        <f ca="1">SUMIFS(budgetMilestone2[Milestone 4],budgetMilestone2[Category],budgetMilestone2Overall[[#This Row],[Category]],budgetMilestone2[director], "&lt;&gt;1")</f>
        <v>0</v>
      </c>
      <c r="N14" s="60">
        <f ca="1">SUMIFS(budgetMilestone2[Final],budgetMilestone2[Category],budgetMilestone2Overall[[#This Row],[Category]],budgetMilestone2[director], "&lt;&gt;1")</f>
        <v>0</v>
      </c>
      <c r="O14" s="60">
        <f ca="1">SUM(budgetMilestone2Overall[[#This Row],[Milestone 1]:[Final]])</f>
        <v>0</v>
      </c>
      <c r="P14" s="60"/>
      <c r="Q14" s="60"/>
      <c r="R14" s="60"/>
    </row>
    <row r="15" spans="1:18" ht="15" customHeight="1" thickTop="1" x14ac:dyDescent="0.25">
      <c r="A15" s="114" t="str">
        <f ca="1"/>
        <v>Total</v>
      </c>
      <c r="B15" s="114">
        <f ca="1"/>
        <v>0</v>
      </c>
      <c r="C15" s="114">
        <f ca="1"/>
        <v>0</v>
      </c>
      <c r="D15" s="114">
        <f ca="1"/>
        <v>0</v>
      </c>
      <c r="E15" s="114">
        <f ca="1"/>
        <v>0</v>
      </c>
      <c r="F15" s="114">
        <f ca="1"/>
        <v>0</v>
      </c>
      <c r="G15" s="115">
        <f ca="1"/>
        <v>0</v>
      </c>
      <c r="H15" s="60"/>
      <c r="I15" s="179" t="s">
        <v>403</v>
      </c>
      <c r="J15" s="179">
        <f>SUBTOTAL(109,budgetMilestone2Overall[Milestone 1])</f>
        <v>0</v>
      </c>
      <c r="K15" s="179">
        <f>SUBTOTAL(109,budgetMilestone2Overall[Milestone 2])</f>
        <v>0</v>
      </c>
      <c r="L15" s="179">
        <f ca="1">SUBTOTAL(109,budgetMilestone2Overall[Milestone 3])</f>
        <v>0</v>
      </c>
      <c r="M15" s="179">
        <f ca="1">SUBTOTAL(109,budgetMilestone2Overall[Milestone 4])</f>
        <v>0</v>
      </c>
      <c r="N15" s="179">
        <f ca="1">SUBTOTAL(109,budgetMilestone2Overall[Final])</f>
        <v>0</v>
      </c>
      <c r="O15" s="179">
        <f ca="1">SUBTOTAL(109,budgetMilestone2Overall[Total])</f>
        <v>0</v>
      </c>
      <c r="P15" s="47"/>
      <c r="Q15" s="47"/>
      <c r="R15" s="47"/>
    </row>
    <row r="16" spans="1:18" ht="15" customHeight="1" x14ac:dyDescent="0.25">
      <c r="A16" s="60">
        <f ca="1"/>
        <v>0</v>
      </c>
      <c r="B16" s="60">
        <f ca="1"/>
        <v>0</v>
      </c>
      <c r="C16" s="60">
        <f ca="1"/>
        <v>0</v>
      </c>
      <c r="D16" s="60">
        <f ca="1"/>
        <v>0</v>
      </c>
      <c r="E16" s="60">
        <f ca="1"/>
        <v>0</v>
      </c>
      <c r="F16" s="60">
        <f ca="1"/>
        <v>0</v>
      </c>
      <c r="G16" s="60">
        <f ca="1"/>
        <v>0</v>
      </c>
      <c r="H16" s="60"/>
      <c r="I16" s="60"/>
      <c r="J16" s="60"/>
      <c r="K16" s="60"/>
      <c r="L16" s="60"/>
      <c r="M16" s="60"/>
      <c r="N16" s="60"/>
      <c r="O16" s="60"/>
      <c r="P16" s="60"/>
      <c r="Q16" s="60"/>
      <c r="R16" s="60"/>
    </row>
    <row r="17" spans="1:18" ht="26.25" thickBot="1" x14ac:dyDescent="0.3">
      <c r="A17" s="106" t="str">
        <f ca="1"/>
        <v>Category</v>
      </c>
      <c r="B17" s="106" t="str">
        <f ca="1"/>
        <v>Milestone 1</v>
      </c>
      <c r="C17" s="106" t="str">
        <f ca="1"/>
        <v>Milestone 2</v>
      </c>
      <c r="D17" s="106" t="str">
        <f ca="1"/>
        <v>Milestone 3</v>
      </c>
      <c r="E17" s="106" t="str">
        <f ca="1"/>
        <v>Milestone 4</v>
      </c>
      <c r="F17" s="106" t="str">
        <f ca="1"/>
        <v>Final</v>
      </c>
      <c r="G17" s="106" t="str">
        <f ca="1"/>
        <v>Total</v>
      </c>
      <c r="H17" s="60"/>
      <c r="I17" s="62" t="s">
        <v>395</v>
      </c>
      <c r="J17" s="72" t="s">
        <v>407</v>
      </c>
      <c r="K17" s="72" t="s">
        <v>408</v>
      </c>
      <c r="L17" s="72" t="s">
        <v>409</v>
      </c>
      <c r="M17" s="72" t="s">
        <v>485</v>
      </c>
      <c r="N17" s="62" t="s">
        <v>410</v>
      </c>
      <c r="O17" s="81" t="s">
        <v>403</v>
      </c>
      <c r="P17" s="62" t="s">
        <v>427</v>
      </c>
      <c r="Q17" s="62" t="s">
        <v>428</v>
      </c>
      <c r="R17" s="62" t="s">
        <v>429</v>
      </c>
    </row>
    <row r="18" spans="1:18" ht="15" customHeight="1" thickTop="1" x14ac:dyDescent="0.25">
      <c r="A18" s="105" t="str">
        <f ca="1"/>
        <v xml:space="preserve">0 / </v>
      </c>
      <c r="B18" s="105">
        <f ca="1"/>
        <v>0</v>
      </c>
      <c r="C18" s="105">
        <f ca="1"/>
        <v>0</v>
      </c>
      <c r="D18" s="105">
        <f ca="1"/>
        <v>0</v>
      </c>
      <c r="E18" s="105">
        <f ca="1"/>
        <v>0</v>
      </c>
      <c r="F18" s="105">
        <f ca="1"/>
        <v>0</v>
      </c>
      <c r="G18" s="105">
        <f ca="1"/>
        <v>0</v>
      </c>
      <c r="H18" s="60"/>
      <c r="I18"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xml:space="preserve">0 / </v>
      </c>
      <c r="J18" s="60"/>
      <c r="K18" s="60"/>
      <c r="L18" s="60"/>
      <c r="M18" s="60"/>
      <c r="N18" s="60"/>
      <c r="O18" s="60">
        <f>SUM(budgetMilestone2[[#This Row],[Milestone 1]:[Final]])</f>
        <v>0</v>
      </c>
      <c r="P18" s="60">
        <f>ROW()-ROW(budgetMilestone2[#Headers])</f>
        <v>1</v>
      </c>
      <c r="Q18" s="60">
        <f>IF(budgetMilestone2[row] &lt;= numCategories +3, budgetMilestone2[row]-1, MOD(budgetMilestone2[row]-1,numCategories+3) + IF(MOD(budgetMilestone2[row]-2,numCategories+2)&gt;numCategories+1, 1,0))</f>
        <v>0</v>
      </c>
      <c r="R18" s="60">
        <f>IFERROR(INDEX(directors[Last],MAX(1,FLOOR((budgetMilestone2[row]-1)/(numCategories+3)+1,1))),1)</f>
        <v>0</v>
      </c>
    </row>
    <row r="19" spans="1:18" ht="15" customHeight="1" x14ac:dyDescent="0.25">
      <c r="A19" s="105" t="str">
        <f ca="1"/>
        <v>Equipment</v>
      </c>
      <c r="B19" s="105">
        <f ca="1"/>
        <v>0</v>
      </c>
      <c r="C19" s="105">
        <f ca="1"/>
        <v>0</v>
      </c>
      <c r="D19" s="105">
        <f ca="1"/>
        <v>0</v>
      </c>
      <c r="E19" s="105">
        <f ca="1"/>
        <v>0</v>
      </c>
      <c r="F19" s="105">
        <f ca="1"/>
        <v>0</v>
      </c>
      <c r="G19" s="105">
        <f ca="1"/>
        <v>0</v>
      </c>
      <c r="H19" s="60"/>
      <c r="I19"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Equipment</v>
      </c>
      <c r="J19" s="60">
        <f>budgetMilestone1[[#This Row],[Milestone 1]]</f>
        <v>0</v>
      </c>
      <c r="K19" s="60">
        <f>SUMIFS(ARF[Amount in Euro], ARF[Co Director],budgetMilestone2[director], ARF[Category], budgetMilestone2[Category], ARF[Date], "&gt;" &amp; cleanDateMilestone1,ARF[Date], "&lt;=" &amp; cleanDateMilestone2)</f>
        <v>0</v>
      </c>
      <c r="L19" s="85">
        <f ca="1">'Milestone 2'!$D19</f>
        <v>0</v>
      </c>
      <c r="M19" s="85">
        <f ca="1">'Milestone 2'!$E19</f>
        <v>0</v>
      </c>
      <c r="N19" s="85">
        <f ca="1">'Milestone 2'!$F19</f>
        <v>0</v>
      </c>
      <c r="O19" s="60">
        <f ca="1">SUM(budgetMilestone2[[#This Row],[Milestone 1]:[Final]])</f>
        <v>0</v>
      </c>
      <c r="P19" s="60">
        <f>ROW()-ROW(budgetMilestone2[#Headers])</f>
        <v>2</v>
      </c>
      <c r="Q19" s="60">
        <f>IF(budgetMilestone2[row] &lt;= numCategories +3, budgetMilestone2[row]-1, MOD(budgetMilestone2[row]-1,numCategories+3) + IF(MOD(budgetMilestone2[row]-2,numCategories+2)&gt;numCategories+1, 1,0))</f>
        <v>1</v>
      </c>
      <c r="R19" s="60">
        <f>IFERROR(INDEX(directors[Last],MAX(1,FLOOR((budgetMilestone2[row]-1)/(numCategories+3)+1,1))),1)</f>
        <v>0</v>
      </c>
    </row>
    <row r="20" spans="1:18" ht="15" customHeight="1" x14ac:dyDescent="0.25">
      <c r="A20" s="105" t="str">
        <f ca="1"/>
        <v>Training</v>
      </c>
      <c r="B20" s="105">
        <f ca="1"/>
        <v>0</v>
      </c>
      <c r="C20" s="105">
        <f ca="1"/>
        <v>0</v>
      </c>
      <c r="D20" s="105">
        <f ca="1"/>
        <v>0</v>
      </c>
      <c r="E20" s="105">
        <f ca="1"/>
        <v>0</v>
      </c>
      <c r="F20" s="105">
        <f ca="1"/>
        <v>0</v>
      </c>
      <c r="G20" s="105">
        <f ca="1"/>
        <v>0</v>
      </c>
      <c r="H20" s="60"/>
      <c r="I20"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Training</v>
      </c>
      <c r="J20" s="60">
        <f>budgetMilestone1[[#This Row],[Milestone 1]]</f>
        <v>0</v>
      </c>
      <c r="K20" s="60">
        <f>SUMIFS(ARF[Amount in Euro], ARF[Co Director],budgetMilestone2[director], ARF[Category], budgetMilestone2[Category], ARF[Date], "&gt;" &amp; cleanDateMilestone1,ARF[Date], "&lt;=" &amp; cleanDateMilestone2)</f>
        <v>0</v>
      </c>
      <c r="L20" s="85">
        <f ca="1">'Milestone 2'!$D20</f>
        <v>0</v>
      </c>
      <c r="M20" s="85">
        <f ca="1">'Milestone 2'!$E20</f>
        <v>0</v>
      </c>
      <c r="N20" s="85">
        <f ca="1">'Milestone 2'!$F20</f>
        <v>0</v>
      </c>
      <c r="O20" s="60">
        <f ca="1">SUM(budgetMilestone2[[#This Row],[Milestone 1]:[Final]])</f>
        <v>0</v>
      </c>
      <c r="P20" s="60">
        <f>ROW()-ROW(budgetMilestone2[#Headers])</f>
        <v>3</v>
      </c>
      <c r="Q20" s="60">
        <f>IF(budgetMilestone2[row] &lt;= numCategories +3, budgetMilestone2[row]-1, MOD(budgetMilestone2[row]-1,numCategories+3) + IF(MOD(budgetMilestone2[row]-2,numCategories+2)&gt;numCategories+1, 1,0))</f>
        <v>2</v>
      </c>
      <c r="R20" s="60">
        <f>IFERROR(INDEX(directors[Last],MAX(1,FLOOR((budgetMilestone2[row]-1)/(numCategories+3)+1,1))),1)</f>
        <v>0</v>
      </c>
    </row>
    <row r="21" spans="1:18" ht="15" customHeight="1" x14ac:dyDescent="0.25">
      <c r="A21" s="105" t="str">
        <f ca="1"/>
        <v>Communication &amp; Publication</v>
      </c>
      <c r="B21" s="105">
        <f ca="1"/>
        <v>0</v>
      </c>
      <c r="C21" s="105">
        <f ca="1"/>
        <v>0</v>
      </c>
      <c r="D21" s="105">
        <f ca="1"/>
        <v>0</v>
      </c>
      <c r="E21" s="105">
        <f ca="1"/>
        <v>0</v>
      </c>
      <c r="F21" s="105">
        <f ca="1"/>
        <v>0</v>
      </c>
      <c r="G21" s="105">
        <f ca="1"/>
        <v>0</v>
      </c>
      <c r="H21" s="60"/>
      <c r="I21"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Communication &amp; Publication</v>
      </c>
      <c r="J21" s="60">
        <f>budgetMilestone1[[#This Row],[Milestone 1]]</f>
        <v>0</v>
      </c>
      <c r="K21" s="60">
        <f>SUMIFS(ARF[Amount in Euro], ARF[Co Director],budgetMilestone2[director], ARF[Category], budgetMilestone2[Category], ARF[Date], "&gt;" &amp; cleanDateMilestone1,ARF[Date], "&lt;=" &amp; cleanDateMilestone2)</f>
        <v>0</v>
      </c>
      <c r="L21" s="85">
        <f ca="1">'Milestone 2'!$D21</f>
        <v>0</v>
      </c>
      <c r="M21" s="85">
        <f ca="1">'Milestone 2'!$E21</f>
        <v>0</v>
      </c>
      <c r="N21" s="85">
        <f ca="1">'Milestone 2'!$F21</f>
        <v>0</v>
      </c>
      <c r="O21" s="60">
        <f ca="1">SUM(budgetMilestone2[[#This Row],[Milestone 1]:[Final]])</f>
        <v>0</v>
      </c>
      <c r="P21" s="60">
        <f>ROW()-ROW(budgetMilestone2[#Headers])</f>
        <v>4</v>
      </c>
      <c r="Q21" s="60">
        <f>IF(budgetMilestone2[row] &lt;= numCategories +3, budgetMilestone2[row]-1, MOD(budgetMilestone2[row]-1,numCategories+3) + IF(MOD(budgetMilestone2[row]-2,numCategories+2)&gt;numCategories+1, 1,0))</f>
        <v>3</v>
      </c>
      <c r="R21" s="60">
        <f>IFERROR(INDEX(directors[Last],MAX(1,FLOOR((budgetMilestone2[row]-1)/(numCategories+3)+1,1))),1)</f>
        <v>0</v>
      </c>
    </row>
    <row r="22" spans="1:18" ht="15" customHeight="1" x14ac:dyDescent="0.25">
      <c r="A22" s="105" t="str">
        <f ca="1"/>
        <v>Travel</v>
      </c>
      <c r="B22" s="105">
        <f ca="1"/>
        <v>0</v>
      </c>
      <c r="C22" s="105">
        <f ca="1"/>
        <v>0</v>
      </c>
      <c r="D22" s="105">
        <f ca="1"/>
        <v>0</v>
      </c>
      <c r="E22" s="105">
        <f ca="1"/>
        <v>0</v>
      </c>
      <c r="F22" s="105">
        <f ca="1"/>
        <v>0</v>
      </c>
      <c r="G22" s="105">
        <f ca="1"/>
        <v>0</v>
      </c>
      <c r="H22" s="60"/>
      <c r="I22"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Travel</v>
      </c>
      <c r="J22" s="60">
        <f>budgetMilestone1[[#This Row],[Milestone 1]]</f>
        <v>0</v>
      </c>
      <c r="K22" s="60">
        <f>SUMIFS(ARF[Amount in Euro], ARF[Co Director],budgetMilestone2[director], ARF[Category], budgetMilestone2[Category], ARF[Date], "&gt;" &amp; cleanDateMilestone1,ARF[Date], "&lt;=" &amp; cleanDateMilestone2)</f>
        <v>0</v>
      </c>
      <c r="L22" s="85">
        <f ca="1">'Milestone 2'!$D22</f>
        <v>0</v>
      </c>
      <c r="M22" s="85">
        <f ca="1">'Milestone 2'!$E22</f>
        <v>0</v>
      </c>
      <c r="N22" s="85">
        <f ca="1">'Milestone 2'!$F22</f>
        <v>0</v>
      </c>
      <c r="O22" s="60">
        <f ca="1">SUM(budgetMilestone2[[#This Row],[Milestone 1]:[Final]])</f>
        <v>0</v>
      </c>
      <c r="P22" s="60">
        <f>ROW()-ROW(budgetMilestone2[#Headers])</f>
        <v>5</v>
      </c>
      <c r="Q22" s="60">
        <f>IF(budgetMilestone2[row] &lt;= numCategories +3, budgetMilestone2[row]-1, MOD(budgetMilestone2[row]-1,numCategories+3) + IF(MOD(budgetMilestone2[row]-2,numCategories+2)&gt;numCategories+1, 1,0))</f>
        <v>4</v>
      </c>
      <c r="R22" s="60">
        <f>IFERROR(INDEX(directors[Last],MAX(1,FLOOR((budgetMilestone2[row]-1)/(numCategories+3)+1,1))),1)</f>
        <v>0</v>
      </c>
    </row>
    <row r="23" spans="1:18" ht="15" customHeight="1" x14ac:dyDescent="0.25">
      <c r="A23" s="105" t="str">
        <f ca="1"/>
        <v>Consumables</v>
      </c>
      <c r="B23" s="105">
        <f ca="1"/>
        <v>0</v>
      </c>
      <c r="C23" s="105">
        <f ca="1"/>
        <v>0</v>
      </c>
      <c r="D23" s="105">
        <f ca="1"/>
        <v>0</v>
      </c>
      <c r="E23" s="105">
        <f ca="1"/>
        <v>0</v>
      </c>
      <c r="F23" s="105">
        <f ca="1"/>
        <v>0</v>
      </c>
      <c r="G23" s="105">
        <f ca="1"/>
        <v>0</v>
      </c>
      <c r="H23" s="60"/>
      <c r="I23"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Consumables</v>
      </c>
      <c r="J23" s="60">
        <f>budgetMilestone1[[#This Row],[Milestone 1]]</f>
        <v>0</v>
      </c>
      <c r="K23" s="60">
        <f>SUMIFS(ARF[Amount in Euro], ARF[Co Director],budgetMilestone2[director], ARF[Category], budgetMilestone2[Category], ARF[Date], "&gt;" &amp; cleanDateMilestone1,ARF[Date], "&lt;=" &amp; cleanDateMilestone2)</f>
        <v>0</v>
      </c>
      <c r="L23" s="85">
        <f ca="1">'Milestone 2'!$D23</f>
        <v>0</v>
      </c>
      <c r="M23" s="85">
        <f ca="1">'Milestone 2'!$E23</f>
        <v>0</v>
      </c>
      <c r="N23" s="85">
        <f ca="1">'Milestone 2'!$F23</f>
        <v>0</v>
      </c>
      <c r="O23" s="60">
        <f ca="1">SUM(budgetMilestone2[[#This Row],[Milestone 1]:[Final]])</f>
        <v>0</v>
      </c>
      <c r="P23" s="60">
        <f>ROW()-ROW(budgetMilestone2[#Headers])</f>
        <v>6</v>
      </c>
      <c r="Q23" s="60">
        <f>IF(budgetMilestone2[row] &lt;= numCategories +3, budgetMilestone2[row]-1, MOD(budgetMilestone2[row]-1,numCategories+3) + IF(MOD(budgetMilestone2[row]-2,numCategories+2)&gt;numCategories+1, 1,0))</f>
        <v>5</v>
      </c>
      <c r="R23" s="60">
        <f>IFERROR(INDEX(directors[Last],MAX(1,FLOOR((budgetMilestone2[row]-1)/(numCategories+3)+1,1))),1)</f>
        <v>0</v>
      </c>
    </row>
    <row r="24" spans="1:18" ht="15" customHeight="1" x14ac:dyDescent="0.25">
      <c r="A24" s="105" t="str">
        <f ca="1"/>
        <v>Other</v>
      </c>
      <c r="B24" s="105">
        <f ca="1"/>
        <v>0</v>
      </c>
      <c r="C24" s="105">
        <f ca="1"/>
        <v>0</v>
      </c>
      <c r="D24" s="105">
        <f ca="1"/>
        <v>0</v>
      </c>
      <c r="E24" s="105">
        <f ca="1"/>
        <v>0</v>
      </c>
      <c r="F24" s="105">
        <f ca="1"/>
        <v>0</v>
      </c>
      <c r="G24" s="105">
        <f ca="1"/>
        <v>0</v>
      </c>
      <c r="H24" s="60"/>
      <c r="I24"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Other</v>
      </c>
      <c r="J24" s="60">
        <f>budgetMilestone1[[#This Row],[Milestone 1]]</f>
        <v>0</v>
      </c>
      <c r="K24" s="60">
        <f>SUMIFS(ARF[Amount in Euro], ARF[Co Director],budgetMilestone2[director], ARF[Category], budgetMilestone2[Category], ARF[Date], "&gt;" &amp; cleanDateMilestone1,ARF[Date], "&lt;=" &amp; cleanDateMilestone2)</f>
        <v>0</v>
      </c>
      <c r="L24" s="85">
        <f ca="1">'Milestone 2'!$D24</f>
        <v>0</v>
      </c>
      <c r="M24" s="85">
        <f ca="1">'Milestone 2'!$E24</f>
        <v>0</v>
      </c>
      <c r="N24" s="85">
        <f ca="1">'Milestone 2'!$F24</f>
        <v>0</v>
      </c>
      <c r="O24" s="60">
        <f ca="1">SUM(budgetMilestone2[[#This Row],[Milestone 1]:[Final]])</f>
        <v>0</v>
      </c>
      <c r="P24" s="60">
        <f>ROW()-ROW(budgetMilestone2[#Headers])</f>
        <v>7</v>
      </c>
      <c r="Q24" s="60">
        <f>IF(budgetMilestone2[row] &lt;= numCategories +3, budgetMilestone2[row]-1, MOD(budgetMilestone2[row]-1,numCategories+3) + IF(MOD(budgetMilestone2[row]-2,numCategories+2)&gt;numCategories+1, 1,0))</f>
        <v>6</v>
      </c>
      <c r="R24" s="60">
        <f>IFERROR(INDEX(directors[Last],MAX(1,FLOOR((budgetMilestone2[row]-1)/(numCategories+3)+1,1))),1)</f>
        <v>0</v>
      </c>
    </row>
    <row r="25" spans="1:18" ht="15" customHeight="1" x14ac:dyDescent="0.25">
      <c r="A25" s="105" t="str">
        <f ca="1"/>
        <v>Stipends</v>
      </c>
      <c r="B25" s="105">
        <f ca="1"/>
        <v>0</v>
      </c>
      <c r="C25" s="105">
        <f ca="1"/>
        <v>0</v>
      </c>
      <c r="D25" s="105">
        <f ca="1"/>
        <v>0</v>
      </c>
      <c r="E25" s="105">
        <f ca="1"/>
        <v>0</v>
      </c>
      <c r="F25" s="105">
        <f ca="1"/>
        <v>0</v>
      </c>
      <c r="G25" s="105">
        <f ca="1"/>
        <v>0</v>
      </c>
      <c r="H25" s="60"/>
      <c r="I25"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Stipends</v>
      </c>
      <c r="J25" s="60">
        <f>budgetMilestone1[[#This Row],[Milestone 1]]</f>
        <v>0</v>
      </c>
      <c r="K25" s="60">
        <f>SUMIFS(ARF[Amount in Euro], ARF[Co Director],budgetMilestone2[director], ARF[Category], budgetMilestone2[Category], ARF[Date], "&gt;" &amp; cleanDateMilestone1,ARF[Date], "&lt;=" &amp; cleanDateMilestone2)</f>
        <v>0</v>
      </c>
      <c r="L25" s="85">
        <f ca="1">'Milestone 2'!$D25</f>
        <v>0</v>
      </c>
      <c r="M25" s="85">
        <f ca="1">'Milestone 2'!$E25</f>
        <v>0</v>
      </c>
      <c r="N25" s="85">
        <f ca="1">'Milestone 2'!$F25</f>
        <v>0</v>
      </c>
      <c r="O25" s="60">
        <f ca="1">SUM(budgetMilestone2[[#This Row],[Milestone 1]:[Final]])</f>
        <v>0</v>
      </c>
      <c r="P25" s="60">
        <f>ROW()-ROW(budgetMilestone2[#Headers])</f>
        <v>8</v>
      </c>
      <c r="Q25" s="60">
        <f>IF(budgetMilestone2[row] &lt;= numCategories +3, budgetMilestone2[row]-1, MOD(budgetMilestone2[row]-1,numCategories+3) + IF(MOD(budgetMilestone2[row]-2,numCategories+2)&gt;numCategories+1, 1,0))</f>
        <v>7</v>
      </c>
      <c r="R25" s="60">
        <f>IFERROR(INDEX(directors[Last],MAX(1,FLOOR((budgetMilestone2[row]-1)/(numCategories+3)+1,1))),1)</f>
        <v>0</v>
      </c>
    </row>
    <row r="26" spans="1:18" ht="15" customHeight="1" x14ac:dyDescent="0.25">
      <c r="A26" s="105" t="str">
        <f ca="1"/>
        <v>Co-financing of personnel</v>
      </c>
      <c r="B26" s="105">
        <f ca="1"/>
        <v>0</v>
      </c>
      <c r="C26" s="105">
        <f ca="1"/>
        <v>0</v>
      </c>
      <c r="D26" s="105">
        <f ca="1"/>
        <v>0</v>
      </c>
      <c r="E26" s="105">
        <f ca="1"/>
        <v>0</v>
      </c>
      <c r="F26" s="105">
        <f ca="1"/>
        <v>0</v>
      </c>
      <c r="G26" s="105">
        <f ca="1"/>
        <v>0</v>
      </c>
      <c r="H26" s="60"/>
      <c r="I26"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Co-financing of personnel</v>
      </c>
      <c r="J26" s="60">
        <f>budgetMilestone1[[#This Row],[Milestone 1]]</f>
        <v>0</v>
      </c>
      <c r="K26" s="60">
        <f>SUMIFS(ARF[Amount in Euro], ARF[Co Director],budgetMilestone2[director], ARF[Category], budgetMilestone2[Category], ARF[Date], "&gt;" &amp; cleanDateMilestone1,ARF[Date], "&lt;=" &amp; cleanDateMilestone2)</f>
        <v>0</v>
      </c>
      <c r="L26" s="85">
        <f ca="1">'Milestone 2'!$D26</f>
        <v>0</v>
      </c>
      <c r="M26" s="85">
        <f ca="1">'Milestone 2'!$E26</f>
        <v>0</v>
      </c>
      <c r="N26" s="85">
        <f ca="1">'Milestone 2'!$F26</f>
        <v>0</v>
      </c>
      <c r="O26" s="60">
        <f ca="1">SUM(budgetMilestone2[[#This Row],[Milestone 1]:[Final]])</f>
        <v>0</v>
      </c>
      <c r="P26" s="60">
        <f>ROW()-ROW(budgetMilestone2[#Headers])</f>
        <v>9</v>
      </c>
      <c r="Q26" s="60">
        <f>IF(budgetMilestone2[row] &lt;= numCategories +3, budgetMilestone2[row]-1, MOD(budgetMilestone2[row]-1,numCategories+3) + IF(MOD(budgetMilestone2[row]-2,numCategories+2)&gt;numCategories+1, 1,0))</f>
        <v>8</v>
      </c>
      <c r="R26" s="60">
        <f>IFERROR(INDEX(directors[Last],MAX(1,FLOOR((budgetMilestone2[row]-1)/(numCategories+3)+1,1))),1)</f>
        <v>0</v>
      </c>
    </row>
    <row r="27" spans="1:18" ht="15" customHeight="1" x14ac:dyDescent="0.25">
      <c r="A27" s="105" t="str">
        <f ca="1"/>
        <v>Subtotal 0</v>
      </c>
      <c r="B27" s="105">
        <f ca="1"/>
        <v>0</v>
      </c>
      <c r="C27" s="105">
        <f ca="1"/>
        <v>0</v>
      </c>
      <c r="D27" s="105">
        <f ca="1"/>
        <v>0</v>
      </c>
      <c r="E27" s="105">
        <f ca="1"/>
        <v>0</v>
      </c>
      <c r="F27" s="105">
        <f ca="1"/>
        <v>0</v>
      </c>
      <c r="G27" s="105">
        <f ca="1"/>
        <v>0</v>
      </c>
      <c r="H27" s="60"/>
      <c r="I27"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Subtotal 0</v>
      </c>
      <c r="J27" s="60">
        <f>budgetMilestone1[[#This Row],[Milestone 1]]</f>
        <v>0</v>
      </c>
      <c r="K27" s="60">
        <f>SUBTOTAL(9,K19:K26)</f>
        <v>0</v>
      </c>
      <c r="L27" s="60">
        <f t="shared" ref="L27:N27" ca="1" si="0">SUBTOTAL(9,L19:L26)</f>
        <v>0</v>
      </c>
      <c r="M27" s="60">
        <f t="shared" ca="1" si="0"/>
        <v>0</v>
      </c>
      <c r="N27" s="60">
        <f t="shared" ca="1" si="0"/>
        <v>0</v>
      </c>
      <c r="O27" s="60">
        <f ca="1">SUBTOTAL(9,O19:O26)</f>
        <v>0</v>
      </c>
      <c r="P27" s="60">
        <f>ROW()-ROW(budgetMilestone2[#Headers])</f>
        <v>10</v>
      </c>
      <c r="Q27" s="60">
        <f>IF(budgetMilestone2[row] &lt;= numCategories +3, budgetMilestone2[row]-1, MOD(budgetMilestone2[row]-1,numCategories+3) + IF(MOD(budgetMilestone2[row]-2,numCategories+2)&gt;numCategories+1, 1,0))</f>
        <v>9</v>
      </c>
      <c r="R27" s="60">
        <f>IFERROR(INDEX(directors[Last],MAX(1,FLOOR((budgetMilestone2[row]-1)/(numCategories+3)+1,1))),1)</f>
        <v>0</v>
      </c>
    </row>
    <row r="28" spans="1:18" ht="15" customHeight="1" x14ac:dyDescent="0.25">
      <c r="A28" s="105" t="str">
        <f ca="1"/>
        <v/>
      </c>
      <c r="B28" s="105">
        <f ca="1"/>
        <v>0</v>
      </c>
      <c r="C28" s="105">
        <f ca="1"/>
        <v>0</v>
      </c>
      <c r="D28" s="105">
        <f ca="1"/>
        <v>0</v>
      </c>
      <c r="E28" s="105">
        <f ca="1"/>
        <v>0</v>
      </c>
      <c r="F28" s="105">
        <f ca="1"/>
        <v>0</v>
      </c>
      <c r="G28" s="105">
        <f ca="1"/>
        <v>0</v>
      </c>
      <c r="H28" s="60"/>
      <c r="I28"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c>
      <c r="J28" s="60">
        <f>budgetMilestone1[[#This Row],[Milestone 1]]</f>
        <v>0</v>
      </c>
      <c r="K28" s="60"/>
      <c r="L28" s="60"/>
      <c r="M28" s="60"/>
      <c r="N28" s="60"/>
      <c r="O28" s="60"/>
      <c r="P28" s="60">
        <f>ROW()-ROW(budgetMilestone2[#Headers])</f>
        <v>11</v>
      </c>
      <c r="Q28" s="60">
        <f>IF(budgetMilestone2[row] &lt;= numCategories +3, budgetMilestone2[row]-1, MOD(budgetMilestone2[row]-1,numCategories+3) + IF(MOD(budgetMilestone2[row]-2,numCategories+2)&gt;numCategories+1, 1,0))</f>
        <v>10</v>
      </c>
      <c r="R28" s="60">
        <f>IFERROR(INDEX(directors[Last],MAX(1,FLOOR((budgetMilestone2[row]-1)/(numCategories+3)+1,1))),1)</f>
        <v>0</v>
      </c>
    </row>
    <row r="29" spans="1:18" ht="15" customHeight="1" x14ac:dyDescent="0.25">
      <c r="A29" s="105" t="str">
        <f ca="1"/>
        <v xml:space="preserve">0 / </v>
      </c>
      <c r="B29" s="105">
        <f ca="1"/>
        <v>0</v>
      </c>
      <c r="C29" s="105">
        <f ca="1"/>
        <v>0</v>
      </c>
      <c r="D29" s="105">
        <f ca="1"/>
        <v>0</v>
      </c>
      <c r="E29" s="105">
        <f ca="1"/>
        <v>0</v>
      </c>
      <c r="F29" s="105">
        <f ca="1"/>
        <v>0</v>
      </c>
      <c r="G29" s="105">
        <f ca="1"/>
        <v>0</v>
      </c>
      <c r="H29" s="60"/>
      <c r="I29"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xml:space="preserve">0 / </v>
      </c>
      <c r="J29" s="60">
        <f>budgetMilestone1[[#This Row],[Milestone 1]]</f>
        <v>0</v>
      </c>
      <c r="K29" s="60"/>
      <c r="L29" s="60"/>
      <c r="M29" s="60"/>
      <c r="N29" s="60"/>
      <c r="O29" s="60">
        <f>SUM(budgetMilestone2[[#This Row],[Milestone 1]:[Final]])</f>
        <v>0</v>
      </c>
      <c r="P29" s="60">
        <f>ROW()-ROW(budgetMilestone2[#Headers])</f>
        <v>12</v>
      </c>
      <c r="Q29" s="60">
        <f>IF(budgetMilestone2[row] &lt;= numCategories +3, budgetMilestone2[row]-1, MOD(budgetMilestone2[row]-1,numCategories+3) + IF(MOD(budgetMilestone2[row]-2,numCategories+2)&gt;numCategories+1, 1,0))</f>
        <v>0</v>
      </c>
      <c r="R29" s="60">
        <f>IFERROR(INDEX(directors[Last],MAX(1,FLOOR((budgetMilestone2[row]-1)/(numCategories+3)+1,1))),1)</f>
        <v>0</v>
      </c>
    </row>
    <row r="30" spans="1:18" ht="15" customHeight="1" x14ac:dyDescent="0.25">
      <c r="A30" s="105" t="str">
        <f ca="1"/>
        <v>Equipment</v>
      </c>
      <c r="B30" s="105">
        <f ca="1"/>
        <v>0</v>
      </c>
      <c r="C30" s="105">
        <f ca="1"/>
        <v>0</v>
      </c>
      <c r="D30" s="105">
        <f ca="1"/>
        <v>0</v>
      </c>
      <c r="E30" s="105">
        <f ca="1"/>
        <v>0</v>
      </c>
      <c r="F30" s="105">
        <f ca="1"/>
        <v>0</v>
      </c>
      <c r="G30" s="105">
        <f ca="1"/>
        <v>0</v>
      </c>
      <c r="H30" s="60"/>
      <c r="I30"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Equipment</v>
      </c>
      <c r="J30" s="60">
        <f>budgetMilestone1[[#This Row],[Milestone 1]]</f>
        <v>0</v>
      </c>
      <c r="K30" s="60">
        <f>SUMIFS(ARF[Amount in Euro], ARF[Co Director],budgetMilestone2[director], ARF[Category], budgetMilestone2[Category], ARF[Date], "&gt;" &amp; cleanDateMilestone1,ARF[Date], "&lt;=" &amp; cleanDateMilestone2)</f>
        <v>0</v>
      </c>
      <c r="L30" s="85">
        <f ca="1">'Milestone 2'!$D30</f>
        <v>0</v>
      </c>
      <c r="M30" s="85">
        <f ca="1">'Milestone 2'!$E30</f>
        <v>0</v>
      </c>
      <c r="N30" s="85">
        <f ca="1">'Milestone 2'!$F30</f>
        <v>0</v>
      </c>
      <c r="O30" s="60">
        <f ca="1">SUM(budgetMilestone2[[#This Row],[Milestone 1]:[Final]])</f>
        <v>0</v>
      </c>
      <c r="P30" s="60">
        <f>ROW()-ROW(budgetMilestone2[#Headers])</f>
        <v>13</v>
      </c>
      <c r="Q30" s="60">
        <f>IF(budgetMilestone2[row] &lt;= numCategories +3, budgetMilestone2[row]-1, MOD(budgetMilestone2[row]-1,numCategories+3) + IF(MOD(budgetMilestone2[row]-2,numCategories+2)&gt;numCategories+1, 1,0))</f>
        <v>1</v>
      </c>
      <c r="R30" s="60">
        <f>IFERROR(INDEX(directors[Last],MAX(1,FLOOR((budgetMilestone2[row]-1)/(numCategories+3)+1,1))),1)</f>
        <v>0</v>
      </c>
    </row>
    <row r="31" spans="1:18" ht="15" customHeight="1" x14ac:dyDescent="0.25">
      <c r="A31" s="105" t="str">
        <f ca="1"/>
        <v>Training</v>
      </c>
      <c r="B31" s="105">
        <f ca="1"/>
        <v>0</v>
      </c>
      <c r="C31" s="105">
        <f ca="1"/>
        <v>0</v>
      </c>
      <c r="D31" s="105">
        <f ca="1"/>
        <v>0</v>
      </c>
      <c r="E31" s="105">
        <f ca="1"/>
        <v>0</v>
      </c>
      <c r="F31" s="105">
        <f ca="1"/>
        <v>0</v>
      </c>
      <c r="G31" s="105">
        <f ca="1"/>
        <v>0</v>
      </c>
      <c r="H31" s="60"/>
      <c r="I31"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Training</v>
      </c>
      <c r="J31" s="60">
        <f>budgetMilestone1[[#This Row],[Milestone 1]]</f>
        <v>0</v>
      </c>
      <c r="K31" s="60">
        <f>SUMIFS(ARF[Amount in Euro], ARF[Co Director],budgetMilestone2[director], ARF[Category], budgetMilestone2[Category], ARF[Date], "&gt;" &amp; cleanDateMilestone1,ARF[Date], "&lt;=" &amp; cleanDateMilestone2)</f>
        <v>0</v>
      </c>
      <c r="L31" s="85">
        <f ca="1">'Milestone 2'!$D31</f>
        <v>0</v>
      </c>
      <c r="M31" s="85">
        <f ca="1">'Milestone 2'!$E31</f>
        <v>0</v>
      </c>
      <c r="N31" s="85">
        <f ca="1">'Milestone 2'!$F31</f>
        <v>0</v>
      </c>
      <c r="O31" s="60">
        <f ca="1">SUM(budgetMilestone2[[#This Row],[Milestone 1]:[Final]])</f>
        <v>0</v>
      </c>
      <c r="P31" s="60">
        <f>ROW()-ROW(budgetMilestone2[#Headers])</f>
        <v>14</v>
      </c>
      <c r="Q31" s="60">
        <f>IF(budgetMilestone2[row] &lt;= numCategories +3, budgetMilestone2[row]-1, MOD(budgetMilestone2[row]-1,numCategories+3) + IF(MOD(budgetMilestone2[row]-2,numCategories+2)&gt;numCategories+1, 1,0))</f>
        <v>2</v>
      </c>
      <c r="R31" s="60">
        <f>IFERROR(INDEX(directors[Last],MAX(1,FLOOR((budgetMilestone2[row]-1)/(numCategories+3)+1,1))),1)</f>
        <v>0</v>
      </c>
    </row>
    <row r="32" spans="1:18" ht="15" customHeight="1" x14ac:dyDescent="0.25">
      <c r="A32" s="105" t="str">
        <f ca="1"/>
        <v>Communication &amp; Publication</v>
      </c>
      <c r="B32" s="105">
        <f ca="1"/>
        <v>0</v>
      </c>
      <c r="C32" s="105">
        <f ca="1"/>
        <v>0</v>
      </c>
      <c r="D32" s="105">
        <f ca="1"/>
        <v>0</v>
      </c>
      <c r="E32" s="105">
        <f ca="1"/>
        <v>0</v>
      </c>
      <c r="F32" s="105">
        <f ca="1"/>
        <v>0</v>
      </c>
      <c r="G32" s="105">
        <f ca="1"/>
        <v>0</v>
      </c>
      <c r="H32" s="60"/>
      <c r="I32"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Communication &amp; Publication</v>
      </c>
      <c r="J32" s="60">
        <f>budgetMilestone1[[#This Row],[Milestone 1]]</f>
        <v>0</v>
      </c>
      <c r="K32" s="60">
        <f>SUMIFS(ARF[Amount in Euro], ARF[Co Director],budgetMilestone2[director], ARF[Category], budgetMilestone2[Category], ARF[Date], "&gt;" &amp; cleanDateMilestone1,ARF[Date], "&lt;=" &amp; cleanDateMilestone2)</f>
        <v>0</v>
      </c>
      <c r="L32" s="85">
        <f ca="1">'Milestone 2'!$D32</f>
        <v>0</v>
      </c>
      <c r="M32" s="85">
        <f ca="1">'Milestone 2'!$E32</f>
        <v>0</v>
      </c>
      <c r="N32" s="85">
        <f ca="1">'Milestone 2'!$F32</f>
        <v>0</v>
      </c>
      <c r="O32" s="60">
        <f ca="1">SUM(budgetMilestone2[[#This Row],[Milestone 1]:[Final]])</f>
        <v>0</v>
      </c>
      <c r="P32" s="60">
        <f>ROW()-ROW(budgetMilestone2[#Headers])</f>
        <v>15</v>
      </c>
      <c r="Q32" s="60">
        <f>IF(budgetMilestone2[row] &lt;= numCategories +3, budgetMilestone2[row]-1, MOD(budgetMilestone2[row]-1,numCategories+3) + IF(MOD(budgetMilestone2[row]-2,numCategories+2)&gt;numCategories+1, 1,0))</f>
        <v>3</v>
      </c>
      <c r="R32" s="60">
        <f>IFERROR(INDEX(directors[Last],MAX(1,FLOOR((budgetMilestone2[row]-1)/(numCategories+3)+1,1))),1)</f>
        <v>0</v>
      </c>
    </row>
    <row r="33" spans="1:18" ht="15" customHeight="1" x14ac:dyDescent="0.25">
      <c r="A33" s="105" t="str">
        <f ca="1"/>
        <v>Travel</v>
      </c>
      <c r="B33" s="105">
        <f ca="1"/>
        <v>0</v>
      </c>
      <c r="C33" s="105">
        <f ca="1"/>
        <v>0</v>
      </c>
      <c r="D33" s="105">
        <f ca="1"/>
        <v>0</v>
      </c>
      <c r="E33" s="105">
        <f ca="1"/>
        <v>0</v>
      </c>
      <c r="F33" s="105">
        <f ca="1"/>
        <v>0</v>
      </c>
      <c r="G33" s="105">
        <f ca="1"/>
        <v>0</v>
      </c>
      <c r="H33" s="60"/>
      <c r="I33"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Travel</v>
      </c>
      <c r="J33" s="60">
        <f>budgetMilestone1[[#This Row],[Milestone 1]]</f>
        <v>0</v>
      </c>
      <c r="K33" s="60">
        <f>SUMIFS(ARF[Amount in Euro], ARF[Co Director],budgetMilestone2[director], ARF[Category], budgetMilestone2[Category], ARF[Date], "&gt;" &amp; cleanDateMilestone1,ARF[Date], "&lt;=" &amp; cleanDateMilestone2)</f>
        <v>0</v>
      </c>
      <c r="L33" s="85">
        <f ca="1">'Milestone 2'!$D33</f>
        <v>0</v>
      </c>
      <c r="M33" s="85">
        <f ca="1">'Milestone 2'!$E33</f>
        <v>0</v>
      </c>
      <c r="N33" s="85">
        <f ca="1">'Milestone 2'!$F33</f>
        <v>0</v>
      </c>
      <c r="O33" s="60">
        <f ca="1">SUM(budgetMilestone2[[#This Row],[Milestone 1]:[Final]])</f>
        <v>0</v>
      </c>
      <c r="P33" s="60">
        <f>ROW()-ROW(budgetMilestone2[#Headers])</f>
        <v>16</v>
      </c>
      <c r="Q33" s="60">
        <f>IF(budgetMilestone2[row] &lt;= numCategories +3, budgetMilestone2[row]-1, MOD(budgetMilestone2[row]-1,numCategories+3) + IF(MOD(budgetMilestone2[row]-2,numCategories+2)&gt;numCategories+1, 1,0))</f>
        <v>4</v>
      </c>
      <c r="R33" s="60">
        <f>IFERROR(INDEX(directors[Last],MAX(1,FLOOR((budgetMilestone2[row]-1)/(numCategories+3)+1,1))),1)</f>
        <v>0</v>
      </c>
    </row>
    <row r="34" spans="1:18" ht="15" customHeight="1" x14ac:dyDescent="0.25">
      <c r="A34" s="105" t="str">
        <f ca="1"/>
        <v>Consumables</v>
      </c>
      <c r="B34" s="105">
        <f ca="1"/>
        <v>0</v>
      </c>
      <c r="C34" s="105">
        <f ca="1"/>
        <v>0</v>
      </c>
      <c r="D34" s="105">
        <f ca="1"/>
        <v>0</v>
      </c>
      <c r="E34" s="105">
        <f ca="1"/>
        <v>0</v>
      </c>
      <c r="F34" s="105">
        <f ca="1"/>
        <v>0</v>
      </c>
      <c r="G34" s="105">
        <f ca="1"/>
        <v>0</v>
      </c>
      <c r="H34" s="60"/>
      <c r="I34"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Consumables</v>
      </c>
      <c r="J34" s="60">
        <f>budgetMilestone1[[#This Row],[Milestone 1]]</f>
        <v>0</v>
      </c>
      <c r="K34" s="60">
        <f>SUMIFS(ARF[Amount in Euro], ARF[Co Director],budgetMilestone2[director], ARF[Category], budgetMilestone2[Category], ARF[Date], "&gt;" &amp; cleanDateMilestone1,ARF[Date], "&lt;=" &amp; cleanDateMilestone2)</f>
        <v>0</v>
      </c>
      <c r="L34" s="85">
        <f ca="1">'Milestone 2'!$D34</f>
        <v>0</v>
      </c>
      <c r="M34" s="85">
        <f ca="1">'Milestone 2'!$E34</f>
        <v>0</v>
      </c>
      <c r="N34" s="85">
        <f ca="1">'Milestone 2'!$F34</f>
        <v>0</v>
      </c>
      <c r="O34" s="60">
        <f ca="1">SUM(budgetMilestone2[[#This Row],[Milestone 1]:[Final]])</f>
        <v>0</v>
      </c>
      <c r="P34" s="60">
        <f>ROW()-ROW(budgetMilestone2[#Headers])</f>
        <v>17</v>
      </c>
      <c r="Q34" s="60">
        <f>IF(budgetMilestone2[row] &lt;= numCategories +3, budgetMilestone2[row]-1, MOD(budgetMilestone2[row]-1,numCategories+3) + IF(MOD(budgetMilestone2[row]-2,numCategories+2)&gt;numCategories+1, 1,0))</f>
        <v>5</v>
      </c>
      <c r="R34" s="60">
        <f>IFERROR(INDEX(directors[Last],MAX(1,FLOOR((budgetMilestone2[row]-1)/(numCategories+3)+1,1))),1)</f>
        <v>0</v>
      </c>
    </row>
    <row r="35" spans="1:18" ht="15" customHeight="1" x14ac:dyDescent="0.25">
      <c r="A35" s="105" t="str">
        <f ca="1"/>
        <v>Other</v>
      </c>
      <c r="B35" s="105">
        <f ca="1"/>
        <v>0</v>
      </c>
      <c r="C35" s="105">
        <f ca="1"/>
        <v>0</v>
      </c>
      <c r="D35" s="105">
        <f ca="1"/>
        <v>0</v>
      </c>
      <c r="E35" s="105">
        <f ca="1"/>
        <v>0</v>
      </c>
      <c r="F35" s="105">
        <f ca="1"/>
        <v>0</v>
      </c>
      <c r="G35" s="105">
        <f ca="1"/>
        <v>0</v>
      </c>
      <c r="H35" s="60"/>
      <c r="I35"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Other</v>
      </c>
      <c r="J35" s="60">
        <f>budgetMilestone1[[#This Row],[Milestone 1]]</f>
        <v>0</v>
      </c>
      <c r="K35" s="60">
        <f>SUMIFS(ARF[Amount in Euro], ARF[Co Director],budgetMilestone2[director], ARF[Category], budgetMilestone2[Category], ARF[Date], "&gt;" &amp; cleanDateMilestone1,ARF[Date], "&lt;=" &amp; cleanDateMilestone2)</f>
        <v>0</v>
      </c>
      <c r="L35" s="85">
        <f ca="1">'Milestone 2'!$D35</f>
        <v>0</v>
      </c>
      <c r="M35" s="85">
        <f ca="1">'Milestone 2'!$E35</f>
        <v>0</v>
      </c>
      <c r="N35" s="85">
        <f ca="1">'Milestone 2'!$F35</f>
        <v>0</v>
      </c>
      <c r="O35" s="60">
        <f ca="1">SUM(budgetMilestone2[[#This Row],[Milestone 1]:[Final]])</f>
        <v>0</v>
      </c>
      <c r="P35" s="60">
        <f>ROW()-ROW(budgetMilestone2[#Headers])</f>
        <v>18</v>
      </c>
      <c r="Q35" s="60">
        <f>IF(budgetMilestone2[row] &lt;= numCategories +3, budgetMilestone2[row]-1, MOD(budgetMilestone2[row]-1,numCategories+3) + IF(MOD(budgetMilestone2[row]-2,numCategories+2)&gt;numCategories+1, 1,0))</f>
        <v>6</v>
      </c>
      <c r="R35" s="60">
        <f>IFERROR(INDEX(directors[Last],MAX(1,FLOOR((budgetMilestone2[row]-1)/(numCategories+3)+1,1))),1)</f>
        <v>0</v>
      </c>
    </row>
    <row r="36" spans="1:18" ht="15" customHeight="1" x14ac:dyDescent="0.25">
      <c r="A36" s="105" t="str">
        <f ca="1"/>
        <v>Stipends</v>
      </c>
      <c r="B36" s="105">
        <f ca="1"/>
        <v>0</v>
      </c>
      <c r="C36" s="105">
        <f ca="1"/>
        <v>0</v>
      </c>
      <c r="D36" s="105">
        <f ca="1"/>
        <v>0</v>
      </c>
      <c r="E36" s="105">
        <f ca="1"/>
        <v>0</v>
      </c>
      <c r="F36" s="105">
        <f ca="1"/>
        <v>0</v>
      </c>
      <c r="G36" s="105">
        <f ca="1"/>
        <v>0</v>
      </c>
      <c r="H36" s="60"/>
      <c r="I36"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Stipends</v>
      </c>
      <c r="J36" s="60">
        <f>budgetMilestone1[[#This Row],[Milestone 1]]</f>
        <v>0</v>
      </c>
      <c r="K36" s="60">
        <f>SUMIFS(ARF[Amount in Euro], ARF[Co Director],budgetMilestone2[director], ARF[Category], budgetMilestone2[Category], ARF[Date], "&gt;" &amp; cleanDateMilestone1,ARF[Date], "&lt;=" &amp; cleanDateMilestone2)</f>
        <v>0</v>
      </c>
      <c r="L36" s="85">
        <f ca="1">'Milestone 2'!$D36</f>
        <v>0</v>
      </c>
      <c r="M36" s="85">
        <f ca="1">'Milestone 2'!$E36</f>
        <v>0</v>
      </c>
      <c r="N36" s="85">
        <f ca="1">'Milestone 2'!$F36</f>
        <v>0</v>
      </c>
      <c r="O36" s="60">
        <f ca="1">SUM(budgetMilestone2[[#This Row],[Milestone 1]:[Final]])</f>
        <v>0</v>
      </c>
      <c r="P36" s="60">
        <f>ROW()-ROW(budgetMilestone2[#Headers])</f>
        <v>19</v>
      </c>
      <c r="Q36" s="60">
        <f>IF(budgetMilestone2[row] &lt;= numCategories +3, budgetMilestone2[row]-1, MOD(budgetMilestone2[row]-1,numCategories+3) + IF(MOD(budgetMilestone2[row]-2,numCategories+2)&gt;numCategories+1, 1,0))</f>
        <v>7</v>
      </c>
      <c r="R36" s="60">
        <f>IFERROR(INDEX(directors[Last],MAX(1,FLOOR((budgetMilestone2[row]-1)/(numCategories+3)+1,1))),1)</f>
        <v>0</v>
      </c>
    </row>
    <row r="37" spans="1:18" ht="15" customHeight="1" x14ac:dyDescent="0.25">
      <c r="A37" s="105" t="str">
        <f ca="1"/>
        <v>Co-financing of personnel</v>
      </c>
      <c r="B37" s="105">
        <f ca="1"/>
        <v>0</v>
      </c>
      <c r="C37" s="105">
        <f ca="1"/>
        <v>0</v>
      </c>
      <c r="D37" s="105">
        <f ca="1"/>
        <v>0</v>
      </c>
      <c r="E37" s="105">
        <f ca="1"/>
        <v>0</v>
      </c>
      <c r="F37" s="105">
        <f ca="1"/>
        <v>0</v>
      </c>
      <c r="G37" s="105">
        <f ca="1"/>
        <v>0</v>
      </c>
      <c r="H37" s="60"/>
      <c r="I37"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Co-financing of personnel</v>
      </c>
      <c r="J37" s="60">
        <f>budgetMilestone1[[#This Row],[Milestone 1]]</f>
        <v>0</v>
      </c>
      <c r="K37" s="60">
        <f>SUMIFS(ARF[Amount in Euro], ARF[Co Director],budgetMilestone2[director], ARF[Category], budgetMilestone2[Category], ARF[Date], "&gt;" &amp; cleanDateMilestone1,ARF[Date], "&lt;=" &amp; cleanDateMilestone2)</f>
        <v>0</v>
      </c>
      <c r="L37" s="85">
        <f ca="1">'Milestone 2'!$D37</f>
        <v>0</v>
      </c>
      <c r="M37" s="85">
        <f ca="1">'Milestone 2'!$E37</f>
        <v>0</v>
      </c>
      <c r="N37" s="85">
        <f ca="1">'Milestone 2'!$F37</f>
        <v>0</v>
      </c>
      <c r="O37" s="60">
        <f ca="1">SUM(budgetMilestone2[[#This Row],[Milestone 1]:[Final]])</f>
        <v>0</v>
      </c>
      <c r="P37" s="60">
        <f>ROW()-ROW(budgetMilestone2[#Headers])</f>
        <v>20</v>
      </c>
      <c r="Q37" s="60">
        <f>IF(budgetMilestone2[row] &lt;= numCategories +3, budgetMilestone2[row]-1, MOD(budgetMilestone2[row]-1,numCategories+3) + IF(MOD(budgetMilestone2[row]-2,numCategories+2)&gt;numCategories+1, 1,0))</f>
        <v>8</v>
      </c>
      <c r="R37" s="60">
        <f>IFERROR(INDEX(directors[Last],MAX(1,FLOOR((budgetMilestone2[row]-1)/(numCategories+3)+1,1))),1)</f>
        <v>0</v>
      </c>
    </row>
    <row r="38" spans="1:18" ht="15" customHeight="1" x14ac:dyDescent="0.25">
      <c r="A38" s="105" t="str">
        <f ca="1"/>
        <v>Subtotal 0</v>
      </c>
      <c r="B38" s="105">
        <f ca="1"/>
        <v>0</v>
      </c>
      <c r="C38" s="105">
        <f ca="1"/>
        <v>0</v>
      </c>
      <c r="D38" s="105">
        <f ca="1"/>
        <v>0</v>
      </c>
      <c r="E38" s="105">
        <f ca="1"/>
        <v>0</v>
      </c>
      <c r="F38" s="105">
        <f ca="1"/>
        <v>0</v>
      </c>
      <c r="G38" s="105">
        <f ca="1"/>
        <v>0</v>
      </c>
      <c r="H38" s="60"/>
      <c r="I38"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Subtotal 0</v>
      </c>
      <c r="J38" s="60">
        <f>budgetMilestone1[[#This Row],[Milestone 1]]</f>
        <v>0</v>
      </c>
      <c r="K38" s="60">
        <f t="shared" ref="K38:O38" si="1">SUBTOTAL(9,K30:K37)</f>
        <v>0</v>
      </c>
      <c r="L38" s="60">
        <f t="shared" ca="1" si="1"/>
        <v>0</v>
      </c>
      <c r="M38" s="60">
        <f t="shared" ca="1" si="1"/>
        <v>0</v>
      </c>
      <c r="N38" s="60">
        <f t="shared" ca="1" si="1"/>
        <v>0</v>
      </c>
      <c r="O38" s="60">
        <f t="shared" ca="1" si="1"/>
        <v>0</v>
      </c>
      <c r="P38" s="60">
        <f>ROW()-ROW(budgetMilestone2[#Headers])</f>
        <v>21</v>
      </c>
      <c r="Q38" s="60">
        <f>IF(budgetMilestone2[row] &lt;= numCategories +3, budgetMilestone2[row]-1, MOD(budgetMilestone2[row]-1,numCategories+3) + IF(MOD(budgetMilestone2[row]-2,numCategories+2)&gt;numCategories+1, 1,0))</f>
        <v>9</v>
      </c>
      <c r="R38" s="60">
        <f>IFERROR(INDEX(directors[Last],MAX(1,FLOOR((budgetMilestone2[row]-1)/(numCategories+3)+1,1))),1)</f>
        <v>0</v>
      </c>
    </row>
    <row r="39" spans="1:18" ht="15" customHeight="1" x14ac:dyDescent="0.25">
      <c r="A39" s="105" t="str">
        <f ca="1"/>
        <v/>
      </c>
      <c r="B39" s="105">
        <f ca="1"/>
        <v>0</v>
      </c>
      <c r="C39" s="105">
        <f ca="1"/>
        <v>0</v>
      </c>
      <c r="D39" s="105">
        <f ca="1"/>
        <v>0</v>
      </c>
      <c r="E39" s="105">
        <f ca="1"/>
        <v>0</v>
      </c>
      <c r="F39" s="105">
        <f ca="1"/>
        <v>0</v>
      </c>
      <c r="G39" s="105">
        <f ca="1"/>
        <v>0</v>
      </c>
      <c r="H39" s="60"/>
      <c r="I39"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c>
      <c r="J39" s="60">
        <f>budgetMilestone1[[#This Row],[Milestone 1]]</f>
        <v>0</v>
      </c>
      <c r="K39" s="60"/>
      <c r="L39" s="60"/>
      <c r="M39" s="60"/>
      <c r="N39" s="60"/>
      <c r="O39" s="60">
        <f>SUM(budgetMilestone2[[#This Row],[Milestone 1]:[Final]])</f>
        <v>0</v>
      </c>
      <c r="P39" s="60">
        <f>ROW()-ROW(budgetMilestone2[#Headers])</f>
        <v>22</v>
      </c>
      <c r="Q39" s="60">
        <f>IF(budgetMilestone2[row] &lt;= numCategories +3, budgetMilestone2[row]-1, MOD(budgetMilestone2[row]-1,numCategories+3) + IF(MOD(budgetMilestone2[row]-2,numCategories+2)&gt;numCategories+1, 1,0))</f>
        <v>10</v>
      </c>
      <c r="R39" s="60">
        <f>IFERROR(INDEX(directors[Last],MAX(1,FLOOR((budgetMilestone2[row]-1)/(numCategories+3)+1,1))),1)</f>
        <v>0</v>
      </c>
    </row>
    <row r="40" spans="1:18" ht="15" customHeight="1" x14ac:dyDescent="0.25">
      <c r="A40" s="105" t="str">
        <f ca="1"/>
        <v xml:space="preserve">0 / </v>
      </c>
      <c r="B40" s="105">
        <f ca="1"/>
        <v>0</v>
      </c>
      <c r="C40" s="105">
        <f ca="1"/>
        <v>0</v>
      </c>
      <c r="D40" s="105">
        <f ca="1"/>
        <v>0</v>
      </c>
      <c r="E40" s="105">
        <f ca="1"/>
        <v>0</v>
      </c>
      <c r="F40" s="105">
        <f ca="1"/>
        <v>0</v>
      </c>
      <c r="G40" s="105">
        <f ca="1"/>
        <v>0</v>
      </c>
      <c r="H40" s="60"/>
      <c r="I40"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xml:space="preserve">0 / </v>
      </c>
      <c r="J40" s="60">
        <f>budgetMilestone1[[#This Row],[Milestone 1]]</f>
        <v>0</v>
      </c>
      <c r="K40" s="60"/>
      <c r="L40" s="60"/>
      <c r="M40" s="60"/>
      <c r="N40" s="60"/>
      <c r="O40" s="60">
        <f>SUM(budgetMilestone2[[#This Row],[Milestone 1]:[Final]])</f>
        <v>0</v>
      </c>
      <c r="P40" s="60">
        <f>ROW()-ROW(budgetMilestone2[#Headers])</f>
        <v>23</v>
      </c>
      <c r="Q40" s="60">
        <f>IF(budgetMilestone2[row] &lt;= numCategories +3, budgetMilestone2[row]-1, MOD(budgetMilestone2[row]-1,numCategories+3) + IF(MOD(budgetMilestone2[row]-2,numCategories+2)&gt;numCategories+1, 1,0))</f>
        <v>0</v>
      </c>
      <c r="R40" s="60">
        <f>IFERROR(INDEX(directors[Last],MAX(1,FLOOR((budgetMilestone2[row]-1)/(numCategories+3)+1,1))),1)</f>
        <v>0</v>
      </c>
    </row>
    <row r="41" spans="1:18" ht="15" customHeight="1" x14ac:dyDescent="0.25">
      <c r="A41" s="105" t="str">
        <f ca="1"/>
        <v>Equipment</v>
      </c>
      <c r="B41" s="105">
        <f ca="1"/>
        <v>0</v>
      </c>
      <c r="C41" s="105">
        <f ca="1"/>
        <v>0</v>
      </c>
      <c r="D41" s="105">
        <f ca="1"/>
        <v>0</v>
      </c>
      <c r="E41" s="105">
        <f ca="1"/>
        <v>0</v>
      </c>
      <c r="F41" s="105">
        <f ca="1"/>
        <v>0</v>
      </c>
      <c r="G41" s="105">
        <f ca="1"/>
        <v>0</v>
      </c>
      <c r="H41" s="60"/>
      <c r="I41"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Equipment</v>
      </c>
      <c r="J41" s="60">
        <f>budgetMilestone1[[#This Row],[Milestone 1]]</f>
        <v>0</v>
      </c>
      <c r="K41" s="60">
        <f>SUMIFS(ARF[Amount in Euro], ARF[Co Director],budgetMilestone2[director], ARF[Category], budgetMilestone2[Category], ARF[Date], "&gt;" &amp; cleanDateMilestone1,ARF[Date], "&lt;=" &amp; cleanDateMilestone2)</f>
        <v>0</v>
      </c>
      <c r="L41" s="85">
        <f ca="1">'Milestone 2'!$D41</f>
        <v>0</v>
      </c>
      <c r="M41" s="85">
        <f ca="1">'Milestone 2'!$E41</f>
        <v>0</v>
      </c>
      <c r="N41" s="85">
        <f ca="1">'Milestone 2'!$F41</f>
        <v>0</v>
      </c>
      <c r="O41" s="60">
        <f ca="1">SUM(budgetMilestone2[[#This Row],[Milestone 1]:[Final]])</f>
        <v>0</v>
      </c>
      <c r="P41" s="60">
        <f>ROW()-ROW(budgetMilestone2[#Headers])</f>
        <v>24</v>
      </c>
      <c r="Q41" s="60">
        <f>IF(budgetMilestone2[row] &lt;= numCategories +3, budgetMilestone2[row]-1, MOD(budgetMilestone2[row]-1,numCategories+3) + IF(MOD(budgetMilestone2[row]-2,numCategories+2)&gt;numCategories+1, 1,0))</f>
        <v>1</v>
      </c>
      <c r="R41" s="60">
        <f>IFERROR(INDEX(directors[Last],MAX(1,FLOOR((budgetMilestone2[row]-1)/(numCategories+3)+1,1))),1)</f>
        <v>0</v>
      </c>
    </row>
    <row r="42" spans="1:18" ht="15" customHeight="1" x14ac:dyDescent="0.25">
      <c r="A42" s="105" t="str">
        <f ca="1"/>
        <v>Training</v>
      </c>
      <c r="B42" s="105">
        <f ca="1"/>
        <v>0</v>
      </c>
      <c r="C42" s="105">
        <f ca="1"/>
        <v>0</v>
      </c>
      <c r="D42" s="105">
        <f ca="1"/>
        <v>0</v>
      </c>
      <c r="E42" s="105">
        <f ca="1"/>
        <v>0</v>
      </c>
      <c r="F42" s="105">
        <f ca="1"/>
        <v>0</v>
      </c>
      <c r="G42" s="105">
        <f ca="1"/>
        <v>0</v>
      </c>
      <c r="H42" s="60"/>
      <c r="I42"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Training</v>
      </c>
      <c r="J42" s="60">
        <f>budgetMilestone1[[#This Row],[Milestone 1]]</f>
        <v>0</v>
      </c>
      <c r="K42" s="60">
        <f>SUMIFS(ARF[Amount in Euro], ARF[Co Director],budgetMilestone2[director], ARF[Category], budgetMilestone2[Category], ARF[Date], "&gt;" &amp; cleanDateMilestone1,ARF[Date], "&lt;=" &amp; cleanDateMilestone2)</f>
        <v>0</v>
      </c>
      <c r="L42" s="85">
        <f ca="1">'Milestone 2'!$D42</f>
        <v>0</v>
      </c>
      <c r="M42" s="85">
        <f ca="1">'Milestone 2'!$E42</f>
        <v>0</v>
      </c>
      <c r="N42" s="85">
        <f ca="1">'Milestone 2'!$F42</f>
        <v>0</v>
      </c>
      <c r="O42" s="60">
        <f ca="1">SUM(budgetMilestone2[[#This Row],[Milestone 1]:[Final]])</f>
        <v>0</v>
      </c>
      <c r="P42" s="60">
        <f>ROW()-ROW(budgetMilestone2[#Headers])</f>
        <v>25</v>
      </c>
      <c r="Q42" s="60">
        <f>IF(budgetMilestone2[row] &lt;= numCategories +3, budgetMilestone2[row]-1, MOD(budgetMilestone2[row]-1,numCategories+3) + IF(MOD(budgetMilestone2[row]-2,numCategories+2)&gt;numCategories+1, 1,0))</f>
        <v>2</v>
      </c>
      <c r="R42" s="60">
        <f>IFERROR(INDEX(directors[Last],MAX(1,FLOOR((budgetMilestone2[row]-1)/(numCategories+3)+1,1))),1)</f>
        <v>0</v>
      </c>
    </row>
    <row r="43" spans="1:18" ht="15" customHeight="1" x14ac:dyDescent="0.25">
      <c r="A43" s="105" t="str">
        <f ca="1"/>
        <v>Communication &amp; Publication</v>
      </c>
      <c r="B43" s="105">
        <f ca="1"/>
        <v>0</v>
      </c>
      <c r="C43" s="105">
        <f ca="1"/>
        <v>0</v>
      </c>
      <c r="D43" s="105">
        <f ca="1"/>
        <v>0</v>
      </c>
      <c r="E43" s="105">
        <f ca="1"/>
        <v>0</v>
      </c>
      <c r="F43" s="105">
        <f ca="1"/>
        <v>0</v>
      </c>
      <c r="G43" s="105">
        <f ca="1"/>
        <v>0</v>
      </c>
      <c r="H43" s="60"/>
      <c r="I43"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Communication &amp; Publication</v>
      </c>
      <c r="J43" s="60">
        <f>budgetMilestone1[[#This Row],[Milestone 1]]</f>
        <v>0</v>
      </c>
      <c r="K43" s="60">
        <f>SUMIFS(ARF[Amount in Euro], ARF[Co Director],budgetMilestone2[director], ARF[Category], budgetMilestone2[Category], ARF[Date], "&gt;" &amp; cleanDateMilestone1,ARF[Date], "&lt;=" &amp; cleanDateMilestone2)</f>
        <v>0</v>
      </c>
      <c r="L43" s="85">
        <f ca="1">'Milestone 2'!$D43</f>
        <v>0</v>
      </c>
      <c r="M43" s="85">
        <f ca="1">'Milestone 2'!$E43</f>
        <v>0</v>
      </c>
      <c r="N43" s="85">
        <f ca="1">'Milestone 2'!$F43</f>
        <v>0</v>
      </c>
      <c r="O43" s="60">
        <f ca="1">SUM(budgetMilestone2[[#This Row],[Milestone 1]:[Final]])</f>
        <v>0</v>
      </c>
      <c r="P43" s="60">
        <f>ROW()-ROW(budgetMilestone2[#Headers])</f>
        <v>26</v>
      </c>
      <c r="Q43" s="60">
        <f>IF(budgetMilestone2[row] &lt;= numCategories +3, budgetMilestone2[row]-1, MOD(budgetMilestone2[row]-1,numCategories+3) + IF(MOD(budgetMilestone2[row]-2,numCategories+2)&gt;numCategories+1, 1,0))</f>
        <v>3</v>
      </c>
      <c r="R43" s="60">
        <f>IFERROR(INDEX(directors[Last],MAX(1,FLOOR((budgetMilestone2[row]-1)/(numCategories+3)+1,1))),1)</f>
        <v>0</v>
      </c>
    </row>
    <row r="44" spans="1:18" ht="15" customHeight="1" x14ac:dyDescent="0.25">
      <c r="A44" s="105" t="str">
        <f ca="1"/>
        <v>Travel</v>
      </c>
      <c r="B44" s="105">
        <f ca="1"/>
        <v>0</v>
      </c>
      <c r="C44" s="105">
        <f ca="1"/>
        <v>0</v>
      </c>
      <c r="D44" s="105">
        <f ca="1"/>
        <v>0</v>
      </c>
      <c r="E44" s="105">
        <f ca="1"/>
        <v>0</v>
      </c>
      <c r="F44" s="105">
        <f ca="1"/>
        <v>0</v>
      </c>
      <c r="G44" s="105">
        <f ca="1"/>
        <v>0</v>
      </c>
      <c r="H44" s="60"/>
      <c r="I44"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Travel</v>
      </c>
      <c r="J44" s="60">
        <f>budgetMilestone1[[#This Row],[Milestone 1]]</f>
        <v>0</v>
      </c>
      <c r="K44" s="60">
        <f>SUMIFS(ARF[Amount in Euro], ARF[Co Director],budgetMilestone2[director], ARF[Category], budgetMilestone2[Category], ARF[Date], "&gt;" &amp; cleanDateMilestone1,ARF[Date], "&lt;=" &amp; cleanDateMilestone2)</f>
        <v>0</v>
      </c>
      <c r="L44" s="85">
        <f ca="1">'Milestone 2'!$D44</f>
        <v>0</v>
      </c>
      <c r="M44" s="85">
        <f ca="1">'Milestone 2'!$E44</f>
        <v>0</v>
      </c>
      <c r="N44" s="85">
        <f ca="1">'Milestone 2'!$F44</f>
        <v>0</v>
      </c>
      <c r="O44" s="60">
        <f ca="1">SUM(budgetMilestone2[[#This Row],[Milestone 1]:[Final]])</f>
        <v>0</v>
      </c>
      <c r="P44" s="60">
        <f>ROW()-ROW(budgetMilestone2[#Headers])</f>
        <v>27</v>
      </c>
      <c r="Q44" s="60">
        <f>IF(budgetMilestone2[row] &lt;= numCategories +3, budgetMilestone2[row]-1, MOD(budgetMilestone2[row]-1,numCategories+3) + IF(MOD(budgetMilestone2[row]-2,numCategories+2)&gt;numCategories+1, 1,0))</f>
        <v>4</v>
      </c>
      <c r="R44" s="60">
        <f>IFERROR(INDEX(directors[Last],MAX(1,FLOOR((budgetMilestone2[row]-1)/(numCategories+3)+1,1))),1)</f>
        <v>0</v>
      </c>
    </row>
    <row r="45" spans="1:18" ht="15" customHeight="1" x14ac:dyDescent="0.25">
      <c r="A45" s="105" t="str">
        <f ca="1"/>
        <v>Consumables</v>
      </c>
      <c r="B45" s="105">
        <f ca="1"/>
        <v>0</v>
      </c>
      <c r="C45" s="105">
        <f ca="1"/>
        <v>0</v>
      </c>
      <c r="D45" s="105">
        <f ca="1"/>
        <v>0</v>
      </c>
      <c r="E45" s="105">
        <f ca="1"/>
        <v>0</v>
      </c>
      <c r="F45" s="105">
        <f ca="1"/>
        <v>0</v>
      </c>
      <c r="G45" s="105">
        <f ca="1"/>
        <v>0</v>
      </c>
      <c r="H45" s="60"/>
      <c r="I45"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Consumables</v>
      </c>
      <c r="J45" s="60">
        <f>budgetMilestone1[[#This Row],[Milestone 1]]</f>
        <v>0</v>
      </c>
      <c r="K45" s="60">
        <f>SUMIFS(ARF[Amount in Euro], ARF[Co Director],budgetMilestone2[director], ARF[Category], budgetMilestone2[Category], ARF[Date], "&gt;" &amp; cleanDateMilestone1,ARF[Date], "&lt;=" &amp; cleanDateMilestone2)</f>
        <v>0</v>
      </c>
      <c r="L45" s="85">
        <f ca="1">'Milestone 2'!$D45</f>
        <v>0</v>
      </c>
      <c r="M45" s="85">
        <f ca="1">'Milestone 2'!$E45</f>
        <v>0</v>
      </c>
      <c r="N45" s="85">
        <f ca="1">'Milestone 2'!$F45</f>
        <v>0</v>
      </c>
      <c r="O45" s="60">
        <f ca="1">SUM(budgetMilestone2[[#This Row],[Milestone 1]:[Final]])</f>
        <v>0</v>
      </c>
      <c r="P45" s="60">
        <f>ROW()-ROW(budgetMilestone2[#Headers])</f>
        <v>28</v>
      </c>
      <c r="Q45" s="60">
        <f>IF(budgetMilestone2[row] &lt;= numCategories +3, budgetMilestone2[row]-1, MOD(budgetMilestone2[row]-1,numCategories+3) + IF(MOD(budgetMilestone2[row]-2,numCategories+2)&gt;numCategories+1, 1,0))</f>
        <v>5</v>
      </c>
      <c r="R45" s="60">
        <f>IFERROR(INDEX(directors[Last],MAX(1,FLOOR((budgetMilestone2[row]-1)/(numCategories+3)+1,1))),1)</f>
        <v>0</v>
      </c>
    </row>
    <row r="46" spans="1:18" ht="15" customHeight="1" x14ac:dyDescent="0.25">
      <c r="A46" s="105" t="str">
        <f ca="1"/>
        <v>Other</v>
      </c>
      <c r="B46" s="105">
        <f ca="1"/>
        <v>0</v>
      </c>
      <c r="C46" s="105">
        <f ca="1"/>
        <v>0</v>
      </c>
      <c r="D46" s="105">
        <f ca="1"/>
        <v>0</v>
      </c>
      <c r="E46" s="105">
        <f ca="1"/>
        <v>0</v>
      </c>
      <c r="F46" s="105">
        <f ca="1"/>
        <v>0</v>
      </c>
      <c r="G46" s="105">
        <f ca="1"/>
        <v>0</v>
      </c>
      <c r="H46" s="60"/>
      <c r="I46"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Other</v>
      </c>
      <c r="J46" s="60">
        <f>budgetMilestone1[[#This Row],[Milestone 1]]</f>
        <v>0</v>
      </c>
      <c r="K46" s="60">
        <f>SUMIFS(ARF[Amount in Euro], ARF[Co Director],budgetMilestone2[director], ARF[Category], budgetMilestone2[Category], ARF[Date], "&gt;" &amp; cleanDateMilestone1,ARF[Date], "&lt;=" &amp; cleanDateMilestone2)</f>
        <v>0</v>
      </c>
      <c r="L46" s="85">
        <f ca="1">'Milestone 2'!$D46</f>
        <v>0</v>
      </c>
      <c r="M46" s="85">
        <f ca="1">'Milestone 2'!$E46</f>
        <v>0</v>
      </c>
      <c r="N46" s="85">
        <f ca="1">'Milestone 2'!$F46</f>
        <v>0</v>
      </c>
      <c r="O46" s="60">
        <f ca="1">SUM(budgetMilestone2[[#This Row],[Milestone 1]:[Final]])</f>
        <v>0</v>
      </c>
      <c r="P46" s="60">
        <f>ROW()-ROW(budgetMilestone2[#Headers])</f>
        <v>29</v>
      </c>
      <c r="Q46" s="60">
        <f>IF(budgetMilestone2[row] &lt;= numCategories +3, budgetMilestone2[row]-1, MOD(budgetMilestone2[row]-1,numCategories+3) + IF(MOD(budgetMilestone2[row]-2,numCategories+2)&gt;numCategories+1, 1,0))</f>
        <v>6</v>
      </c>
      <c r="R46" s="60">
        <f>IFERROR(INDEX(directors[Last],MAX(1,FLOOR((budgetMilestone2[row]-1)/(numCategories+3)+1,1))),1)</f>
        <v>0</v>
      </c>
    </row>
    <row r="47" spans="1:18" ht="15" customHeight="1" x14ac:dyDescent="0.25">
      <c r="A47" s="105" t="str">
        <f ca="1"/>
        <v>Stipends</v>
      </c>
      <c r="B47" s="105">
        <f ca="1"/>
        <v>0</v>
      </c>
      <c r="C47" s="105">
        <f ca="1"/>
        <v>0</v>
      </c>
      <c r="D47" s="105">
        <f ca="1"/>
        <v>0</v>
      </c>
      <c r="E47" s="105">
        <f ca="1"/>
        <v>0</v>
      </c>
      <c r="F47" s="105">
        <f ca="1"/>
        <v>0</v>
      </c>
      <c r="G47" s="105">
        <f ca="1"/>
        <v>0</v>
      </c>
      <c r="H47" s="60"/>
      <c r="I47"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Stipends</v>
      </c>
      <c r="J47" s="60">
        <f>budgetMilestone1[[#This Row],[Milestone 1]]</f>
        <v>0</v>
      </c>
      <c r="K47" s="60">
        <f>SUMIFS(ARF[Amount in Euro], ARF[Co Director],budgetMilestone2[director], ARF[Category], budgetMilestone2[Category], ARF[Date], "&gt;" &amp; cleanDateMilestone1,ARF[Date], "&lt;=" &amp; cleanDateMilestone2)</f>
        <v>0</v>
      </c>
      <c r="L47" s="85">
        <f ca="1">'Milestone 2'!$D47</f>
        <v>0</v>
      </c>
      <c r="M47" s="85">
        <f ca="1">'Milestone 2'!$E47</f>
        <v>0</v>
      </c>
      <c r="N47" s="85">
        <f ca="1">'Milestone 2'!$F47</f>
        <v>0</v>
      </c>
      <c r="O47" s="60">
        <f ca="1">SUM(budgetMilestone2[[#This Row],[Milestone 1]:[Final]])</f>
        <v>0</v>
      </c>
      <c r="P47" s="60">
        <f>ROW()-ROW(budgetMilestone2[#Headers])</f>
        <v>30</v>
      </c>
      <c r="Q47" s="60">
        <f>IF(budgetMilestone2[row] &lt;= numCategories +3, budgetMilestone2[row]-1, MOD(budgetMilestone2[row]-1,numCategories+3) + IF(MOD(budgetMilestone2[row]-2,numCategories+2)&gt;numCategories+1, 1,0))</f>
        <v>7</v>
      </c>
      <c r="R47" s="60">
        <f>IFERROR(INDEX(directors[Last],MAX(1,FLOOR((budgetMilestone2[row]-1)/(numCategories+3)+1,1))),1)</f>
        <v>0</v>
      </c>
    </row>
    <row r="48" spans="1:18" ht="15" customHeight="1" x14ac:dyDescent="0.25">
      <c r="A48" s="105" t="str">
        <f ca="1"/>
        <v>Co-financing of personnel</v>
      </c>
      <c r="B48" s="105">
        <f ca="1"/>
        <v>0</v>
      </c>
      <c r="C48" s="105">
        <f ca="1"/>
        <v>0</v>
      </c>
      <c r="D48" s="105">
        <f ca="1"/>
        <v>0</v>
      </c>
      <c r="E48" s="105">
        <f ca="1"/>
        <v>0</v>
      </c>
      <c r="F48" s="105">
        <f ca="1"/>
        <v>0</v>
      </c>
      <c r="G48" s="105">
        <f ca="1"/>
        <v>0</v>
      </c>
      <c r="H48" s="60"/>
      <c r="I48"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Co-financing of personnel</v>
      </c>
      <c r="J48" s="60">
        <f>budgetMilestone1[[#This Row],[Milestone 1]]</f>
        <v>0</v>
      </c>
      <c r="K48" s="60">
        <f>SUMIFS(ARF[Amount in Euro], ARF[Co Director],budgetMilestone2[director], ARF[Category], budgetMilestone2[Category], ARF[Date], "&gt;" &amp; cleanDateMilestone1,ARF[Date], "&lt;=" &amp; cleanDateMilestone2)</f>
        <v>0</v>
      </c>
      <c r="L48" s="85">
        <f ca="1">'Milestone 2'!$D48</f>
        <v>0</v>
      </c>
      <c r="M48" s="85">
        <f ca="1">'Milestone 2'!$E48</f>
        <v>0</v>
      </c>
      <c r="N48" s="85">
        <f ca="1">'Milestone 2'!$F48</f>
        <v>0</v>
      </c>
      <c r="O48" s="60">
        <f ca="1">SUM(budgetMilestone2[[#This Row],[Milestone 1]:[Final]])</f>
        <v>0</v>
      </c>
      <c r="P48" s="60">
        <f>ROW()-ROW(budgetMilestone2[#Headers])</f>
        <v>31</v>
      </c>
      <c r="Q48" s="60">
        <f>IF(budgetMilestone2[row] &lt;= numCategories +3, budgetMilestone2[row]-1, MOD(budgetMilestone2[row]-1,numCategories+3) + IF(MOD(budgetMilestone2[row]-2,numCategories+2)&gt;numCategories+1, 1,0))</f>
        <v>8</v>
      </c>
      <c r="R48" s="60">
        <f>IFERROR(INDEX(directors[Last],MAX(1,FLOOR((budgetMilestone2[row]-1)/(numCategories+3)+1,1))),1)</f>
        <v>0</v>
      </c>
    </row>
    <row r="49" spans="1:18" ht="15" customHeight="1" x14ac:dyDescent="0.25">
      <c r="A49" s="105" t="str">
        <f ca="1"/>
        <v>Subtotal 0</v>
      </c>
      <c r="B49" s="105">
        <f ca="1"/>
        <v>0</v>
      </c>
      <c r="C49" s="105">
        <f ca="1"/>
        <v>0</v>
      </c>
      <c r="D49" s="105">
        <f ca="1"/>
        <v>0</v>
      </c>
      <c r="E49" s="105">
        <f ca="1"/>
        <v>0</v>
      </c>
      <c r="F49" s="105">
        <f ca="1"/>
        <v>0</v>
      </c>
      <c r="G49" s="105">
        <f ca="1"/>
        <v>0</v>
      </c>
      <c r="H49" s="60"/>
      <c r="I49"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Subtotal 0</v>
      </c>
      <c r="J49" s="60">
        <f>budgetMilestone1[[#This Row],[Milestone 1]]</f>
        <v>0</v>
      </c>
      <c r="K49" s="60">
        <f t="shared" ref="K49:O49" si="2">SUBTOTAL(9,K41:K48)</f>
        <v>0</v>
      </c>
      <c r="L49" s="60">
        <f t="shared" ca="1" si="2"/>
        <v>0</v>
      </c>
      <c r="M49" s="60">
        <f t="shared" ca="1" si="2"/>
        <v>0</v>
      </c>
      <c r="N49" s="60">
        <f t="shared" ca="1" si="2"/>
        <v>0</v>
      </c>
      <c r="O49" s="60">
        <f t="shared" ca="1" si="2"/>
        <v>0</v>
      </c>
      <c r="P49" s="60">
        <f>ROW()-ROW(budgetMilestone2[#Headers])</f>
        <v>32</v>
      </c>
      <c r="Q49" s="60">
        <f>IF(budgetMilestone2[row] &lt;= numCategories +3, budgetMilestone2[row]-1, MOD(budgetMilestone2[row]-1,numCategories+3) + IF(MOD(budgetMilestone2[row]-2,numCategories+2)&gt;numCategories+1, 1,0))</f>
        <v>9</v>
      </c>
      <c r="R49" s="60">
        <f>IFERROR(INDEX(directors[Last],MAX(1,FLOOR((budgetMilestone2[row]-1)/(numCategories+3)+1,1))),1)</f>
        <v>0</v>
      </c>
    </row>
    <row r="50" spans="1:18" ht="15" customHeight="1" x14ac:dyDescent="0.25">
      <c r="A50" s="105" t="str">
        <f ca="1"/>
        <v/>
      </c>
      <c r="B50" s="105">
        <f ca="1"/>
        <v>0</v>
      </c>
      <c r="C50" s="105">
        <f ca="1"/>
        <v>0</v>
      </c>
      <c r="D50" s="105">
        <f ca="1"/>
        <v>0</v>
      </c>
      <c r="E50" s="105">
        <f ca="1"/>
        <v>0</v>
      </c>
      <c r="F50" s="105">
        <f ca="1"/>
        <v>0</v>
      </c>
      <c r="G50" s="105">
        <f ca="1"/>
        <v>0</v>
      </c>
      <c r="H50" s="60"/>
      <c r="I50"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c>
      <c r="J50" s="60">
        <f>budgetMilestone1[[#This Row],[Milestone 1]]</f>
        <v>0</v>
      </c>
      <c r="K50" s="60"/>
      <c r="L50" s="60"/>
      <c r="M50" s="60"/>
      <c r="N50" s="60"/>
      <c r="O50" s="60"/>
      <c r="P50" s="60">
        <f>ROW()-ROW(budgetMilestone2[#Headers])</f>
        <v>33</v>
      </c>
      <c r="Q50" s="60">
        <f>IF(budgetMilestone2[row] &lt;= numCategories +3, budgetMilestone2[row]-1, MOD(budgetMilestone2[row]-1,numCategories+3) + IF(MOD(budgetMilestone2[row]-2,numCategories+2)&gt;numCategories+1, 1,0))</f>
        <v>10</v>
      </c>
      <c r="R50" s="60">
        <f>IFERROR(INDEX(directors[Last],MAX(1,FLOOR((budgetMilestone2[row]-1)/(numCategories+3)+1,1))),1)</f>
        <v>0</v>
      </c>
    </row>
    <row r="51" spans="1:18" ht="15" customHeight="1" x14ac:dyDescent="0.25">
      <c r="A51" s="105" t="str">
        <f ca="1"/>
        <v xml:space="preserve">0 / </v>
      </c>
      <c r="B51" s="105">
        <f ca="1"/>
        <v>0</v>
      </c>
      <c r="C51" s="105">
        <f ca="1"/>
        <v>0</v>
      </c>
      <c r="D51" s="105">
        <f ca="1"/>
        <v>0</v>
      </c>
      <c r="E51" s="105">
        <f ca="1"/>
        <v>0</v>
      </c>
      <c r="F51" s="105">
        <f ca="1"/>
        <v>0</v>
      </c>
      <c r="G51" s="105">
        <f ca="1"/>
        <v>0</v>
      </c>
      <c r="H51" s="60"/>
      <c r="I51"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xml:space="preserve">0 / </v>
      </c>
      <c r="J51" s="60">
        <f>budgetMilestone1[[#This Row],[Milestone 1]]</f>
        <v>0</v>
      </c>
      <c r="K51" s="60"/>
      <c r="L51" s="60"/>
      <c r="M51" s="60"/>
      <c r="N51" s="60"/>
      <c r="O51" s="60">
        <f>SUM(budgetMilestone2[[#This Row],[Milestone 1]:[Final]])</f>
        <v>0</v>
      </c>
      <c r="P51" s="60">
        <f>ROW()-ROW(budgetMilestone2[#Headers])</f>
        <v>34</v>
      </c>
      <c r="Q51" s="60">
        <f>IF(budgetMilestone2[row] &lt;= numCategories +3, budgetMilestone2[row]-1, MOD(budgetMilestone2[row]-1,numCategories+3) + IF(MOD(budgetMilestone2[row]-2,numCategories+2)&gt;numCategories+1, 1,0))</f>
        <v>0</v>
      </c>
      <c r="R51" s="60">
        <f>IFERROR(INDEX(directors[Last],MAX(1,FLOOR((budgetMilestone2[row]-1)/(numCategories+3)+1,1))),1)</f>
        <v>0</v>
      </c>
    </row>
    <row r="52" spans="1:18" ht="15" customHeight="1" x14ac:dyDescent="0.25">
      <c r="A52" s="105" t="str">
        <f ca="1"/>
        <v>Equipment</v>
      </c>
      <c r="B52" s="105">
        <f ca="1"/>
        <v>0</v>
      </c>
      <c r="C52" s="105">
        <f ca="1"/>
        <v>0</v>
      </c>
      <c r="D52" s="105">
        <f ca="1"/>
        <v>0</v>
      </c>
      <c r="E52" s="105">
        <f ca="1"/>
        <v>0</v>
      </c>
      <c r="F52" s="105">
        <f ca="1"/>
        <v>0</v>
      </c>
      <c r="G52" s="105">
        <f ca="1"/>
        <v>0</v>
      </c>
      <c r="H52" s="60"/>
      <c r="I52"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Equipment</v>
      </c>
      <c r="J52" s="60">
        <f>budgetMilestone1[[#This Row],[Milestone 1]]</f>
        <v>0</v>
      </c>
      <c r="K52" s="60">
        <f>SUMIFS(ARF[Amount in Euro], ARF[Co Director],budgetMilestone2[director], ARF[Category], budgetMilestone2[Category], ARF[Date], "&gt;" &amp; cleanDateMilestone1,ARF[Date], "&lt;=" &amp; cleanDateMilestone2)</f>
        <v>0</v>
      </c>
      <c r="L52" s="85">
        <f ca="1">'Milestone 2'!$D52</f>
        <v>0</v>
      </c>
      <c r="M52" s="85">
        <f ca="1">'Milestone 2'!$E52</f>
        <v>0</v>
      </c>
      <c r="N52" s="85">
        <f ca="1">'Milestone 2'!$F52</f>
        <v>0</v>
      </c>
      <c r="O52" s="60">
        <f ca="1">SUM(budgetMilestone2[[#This Row],[Milestone 1]:[Final]])</f>
        <v>0</v>
      </c>
      <c r="P52" s="60">
        <f>ROW()-ROW(budgetMilestone2[#Headers])</f>
        <v>35</v>
      </c>
      <c r="Q52" s="60">
        <f>IF(budgetMilestone2[row] &lt;= numCategories +3, budgetMilestone2[row]-1, MOD(budgetMilestone2[row]-1,numCategories+3) + IF(MOD(budgetMilestone2[row]-2,numCategories+2)&gt;numCategories+1, 1,0))</f>
        <v>1</v>
      </c>
      <c r="R52" s="60">
        <f>IFERROR(INDEX(directors[Last],MAX(1,FLOOR((budgetMilestone2[row]-1)/(numCategories+3)+1,1))),1)</f>
        <v>0</v>
      </c>
    </row>
    <row r="53" spans="1:18" ht="15" customHeight="1" x14ac:dyDescent="0.25">
      <c r="A53" s="105" t="str">
        <f ca="1"/>
        <v>Training</v>
      </c>
      <c r="B53" s="105">
        <f ca="1"/>
        <v>0</v>
      </c>
      <c r="C53" s="105">
        <f ca="1"/>
        <v>0</v>
      </c>
      <c r="D53" s="105">
        <f ca="1"/>
        <v>0</v>
      </c>
      <c r="E53" s="105">
        <f ca="1"/>
        <v>0</v>
      </c>
      <c r="F53" s="105">
        <f ca="1"/>
        <v>0</v>
      </c>
      <c r="G53" s="105">
        <f ca="1"/>
        <v>0</v>
      </c>
      <c r="H53" s="60"/>
      <c r="I53"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Training</v>
      </c>
      <c r="J53" s="60">
        <f>budgetMilestone1[[#This Row],[Milestone 1]]</f>
        <v>0</v>
      </c>
      <c r="K53" s="60">
        <f>SUMIFS(ARF[Amount in Euro], ARF[Co Director],budgetMilestone2[director], ARF[Category], budgetMilestone2[Category], ARF[Date], "&gt;" &amp; cleanDateMilestone1,ARF[Date], "&lt;=" &amp; cleanDateMilestone2)</f>
        <v>0</v>
      </c>
      <c r="L53" s="85">
        <f ca="1">'Milestone 2'!$D53</f>
        <v>0</v>
      </c>
      <c r="M53" s="85">
        <f ca="1">'Milestone 2'!$E53</f>
        <v>0</v>
      </c>
      <c r="N53" s="85">
        <f ca="1">'Milestone 2'!$F53</f>
        <v>0</v>
      </c>
      <c r="O53" s="60">
        <f ca="1">SUM(budgetMilestone2[[#This Row],[Milestone 1]:[Final]])</f>
        <v>0</v>
      </c>
      <c r="P53" s="60">
        <f>ROW()-ROW(budgetMilestone2[#Headers])</f>
        <v>36</v>
      </c>
      <c r="Q53" s="60">
        <f>IF(budgetMilestone2[row] &lt;= numCategories +3, budgetMilestone2[row]-1, MOD(budgetMilestone2[row]-1,numCategories+3) + IF(MOD(budgetMilestone2[row]-2,numCategories+2)&gt;numCategories+1, 1,0))</f>
        <v>2</v>
      </c>
      <c r="R53" s="60">
        <f>IFERROR(INDEX(directors[Last],MAX(1,FLOOR((budgetMilestone2[row]-1)/(numCategories+3)+1,1))),1)</f>
        <v>0</v>
      </c>
    </row>
    <row r="54" spans="1:18" ht="15" customHeight="1" x14ac:dyDescent="0.25">
      <c r="A54" s="105" t="str">
        <f ca="1"/>
        <v>Communication &amp; Publication</v>
      </c>
      <c r="B54" s="105">
        <f ca="1"/>
        <v>0</v>
      </c>
      <c r="C54" s="105">
        <f ca="1"/>
        <v>0</v>
      </c>
      <c r="D54" s="105">
        <f ca="1"/>
        <v>0</v>
      </c>
      <c r="E54" s="105">
        <f ca="1"/>
        <v>0</v>
      </c>
      <c r="F54" s="105">
        <f ca="1"/>
        <v>0</v>
      </c>
      <c r="G54" s="105">
        <f ca="1"/>
        <v>0</v>
      </c>
      <c r="H54" s="60"/>
      <c r="I54"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Communication &amp; Publication</v>
      </c>
      <c r="J54" s="60">
        <f>budgetMilestone1[[#This Row],[Milestone 1]]</f>
        <v>0</v>
      </c>
      <c r="K54" s="60">
        <f>SUMIFS(ARF[Amount in Euro], ARF[Co Director],budgetMilestone2[director], ARF[Category], budgetMilestone2[Category], ARF[Date], "&gt;" &amp; cleanDateMilestone1,ARF[Date], "&lt;=" &amp; cleanDateMilestone2)</f>
        <v>0</v>
      </c>
      <c r="L54" s="85">
        <f ca="1">'Milestone 2'!$D54</f>
        <v>0</v>
      </c>
      <c r="M54" s="85">
        <f ca="1">'Milestone 2'!$E54</f>
        <v>0</v>
      </c>
      <c r="N54" s="85">
        <f ca="1">'Milestone 2'!$F54</f>
        <v>0</v>
      </c>
      <c r="O54" s="60">
        <f ca="1">SUM(budgetMilestone2[[#This Row],[Milestone 1]:[Final]])</f>
        <v>0</v>
      </c>
      <c r="P54" s="60">
        <f>ROW()-ROW(budgetMilestone2[#Headers])</f>
        <v>37</v>
      </c>
      <c r="Q54" s="60">
        <f>IF(budgetMilestone2[row] &lt;= numCategories +3, budgetMilestone2[row]-1, MOD(budgetMilestone2[row]-1,numCategories+3) + IF(MOD(budgetMilestone2[row]-2,numCategories+2)&gt;numCategories+1, 1,0))</f>
        <v>3</v>
      </c>
      <c r="R54" s="60">
        <f>IFERROR(INDEX(directors[Last],MAX(1,FLOOR((budgetMilestone2[row]-1)/(numCategories+3)+1,1))),1)</f>
        <v>0</v>
      </c>
    </row>
    <row r="55" spans="1:18" ht="15" customHeight="1" x14ac:dyDescent="0.25">
      <c r="A55" s="105" t="str">
        <f ca="1"/>
        <v>Travel</v>
      </c>
      <c r="B55" s="105">
        <f ca="1"/>
        <v>0</v>
      </c>
      <c r="C55" s="105">
        <f ca="1"/>
        <v>0</v>
      </c>
      <c r="D55" s="105">
        <f ca="1"/>
        <v>0</v>
      </c>
      <c r="E55" s="105">
        <f ca="1"/>
        <v>0</v>
      </c>
      <c r="F55" s="105">
        <f ca="1"/>
        <v>0</v>
      </c>
      <c r="G55" s="105">
        <f ca="1"/>
        <v>0</v>
      </c>
      <c r="H55" s="60"/>
      <c r="I55" s="61"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Travel</v>
      </c>
      <c r="J55" s="60">
        <f>budgetMilestone1[[#This Row],[Milestone 1]]</f>
        <v>0</v>
      </c>
      <c r="K55" s="60">
        <f>SUMIFS(ARF[Amount in Euro], ARF[Co Director],budgetMilestone2[director], ARF[Category], budgetMilestone2[Category], ARF[Date], "&gt;" &amp; cleanDateMilestone1,ARF[Date], "&lt;=" &amp; cleanDateMilestone2)</f>
        <v>0</v>
      </c>
      <c r="L55" s="85">
        <f ca="1">'Milestone 2'!$D55</f>
        <v>0</v>
      </c>
      <c r="M55" s="85">
        <f ca="1">'Milestone 2'!$E55</f>
        <v>0</v>
      </c>
      <c r="N55" s="85">
        <f ca="1">'Milestone 2'!$F55</f>
        <v>0</v>
      </c>
      <c r="O55" s="60">
        <f ca="1">SUM(budgetMilestone2[[#This Row],[Milestone 1]:[Final]])</f>
        <v>0</v>
      </c>
      <c r="P55" s="61">
        <f>ROW()-ROW(budgetMilestone2[#Headers])</f>
        <v>38</v>
      </c>
      <c r="Q55" s="61">
        <f>IF(budgetMilestone2[row] &lt;= numCategories +3, budgetMilestone2[row]-1, MOD(budgetMilestone2[row]-1,numCategories+3) + IF(MOD(budgetMilestone2[row]-2,numCategories+2)&gt;numCategories+1, 1,0))</f>
        <v>4</v>
      </c>
      <c r="R55" s="60">
        <f>IFERROR(INDEX(directors[Last],MAX(1,FLOOR((budgetMilestone2[row]-1)/(numCategories+3)+1,1))),1)</f>
        <v>0</v>
      </c>
    </row>
    <row r="56" spans="1:18" ht="15" customHeight="1" x14ac:dyDescent="0.25">
      <c r="A56" s="105" t="str">
        <f ca="1"/>
        <v>Consumables</v>
      </c>
      <c r="B56" s="105">
        <f ca="1"/>
        <v>0</v>
      </c>
      <c r="C56" s="105">
        <f ca="1"/>
        <v>0</v>
      </c>
      <c r="D56" s="105">
        <f ca="1"/>
        <v>0</v>
      </c>
      <c r="E56" s="105">
        <f ca="1"/>
        <v>0</v>
      </c>
      <c r="F56" s="105">
        <f ca="1"/>
        <v>0</v>
      </c>
      <c r="G56" s="105">
        <f ca="1"/>
        <v>0</v>
      </c>
      <c r="H56" s="60"/>
      <c r="I56"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Consumables</v>
      </c>
      <c r="J56" s="60">
        <f>budgetMilestone1[[#This Row],[Milestone 1]]</f>
        <v>0</v>
      </c>
      <c r="K56" s="60">
        <f>SUMIFS(ARF[Amount in Euro], ARF[Co Director],budgetMilestone2[director], ARF[Category], budgetMilestone2[Category], ARF[Date], "&gt;" &amp; cleanDateMilestone1,ARF[Date], "&lt;=" &amp; cleanDateMilestone2)</f>
        <v>0</v>
      </c>
      <c r="L56" s="85">
        <f ca="1">'Milestone 2'!$D56</f>
        <v>0</v>
      </c>
      <c r="M56" s="85">
        <f ca="1">'Milestone 2'!$E56</f>
        <v>0</v>
      </c>
      <c r="N56" s="85">
        <f ca="1">'Milestone 2'!$F56</f>
        <v>0</v>
      </c>
      <c r="O56" s="60">
        <f ca="1">SUM(budgetMilestone2[[#This Row],[Milestone 1]:[Final]])</f>
        <v>0</v>
      </c>
      <c r="P56" s="60">
        <f>ROW()-ROW(budgetMilestone2[#Headers])</f>
        <v>39</v>
      </c>
      <c r="Q56" s="60">
        <f>IF(budgetMilestone2[row] &lt;= numCategories +3, budgetMilestone2[row]-1, MOD(budgetMilestone2[row]-1,numCategories+3) + IF(MOD(budgetMilestone2[row]-2,numCategories+2)&gt;numCategories+1, 1,0))</f>
        <v>5</v>
      </c>
      <c r="R56" s="60">
        <f>IFERROR(INDEX(directors[Last],MAX(1,FLOOR((budgetMilestone2[row]-1)/(numCategories+3)+1,1))),1)</f>
        <v>0</v>
      </c>
    </row>
    <row r="57" spans="1:18" ht="15" customHeight="1" x14ac:dyDescent="0.25">
      <c r="A57" s="105" t="str">
        <f ca="1"/>
        <v>Other</v>
      </c>
      <c r="B57" s="105">
        <f ca="1"/>
        <v>0</v>
      </c>
      <c r="C57" s="105">
        <f ca="1"/>
        <v>0</v>
      </c>
      <c r="D57" s="105">
        <f ca="1"/>
        <v>0</v>
      </c>
      <c r="E57" s="105">
        <f ca="1"/>
        <v>0</v>
      </c>
      <c r="F57" s="105">
        <f ca="1"/>
        <v>0</v>
      </c>
      <c r="G57" s="105">
        <f ca="1"/>
        <v>0</v>
      </c>
      <c r="H57" s="60"/>
      <c r="I57"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Other</v>
      </c>
      <c r="J57" s="60">
        <f>budgetMilestone1[[#This Row],[Milestone 1]]</f>
        <v>0</v>
      </c>
      <c r="K57" s="60">
        <f>SUMIFS(ARF[Amount in Euro], ARF[Co Director],budgetMilestone2[director], ARF[Category], budgetMilestone2[Category], ARF[Date], "&gt;" &amp; cleanDateMilestone1,ARF[Date], "&lt;=" &amp; cleanDateMilestone2)</f>
        <v>0</v>
      </c>
      <c r="L57" s="85">
        <f ca="1">'Milestone 2'!$D57</f>
        <v>0</v>
      </c>
      <c r="M57" s="85">
        <f ca="1">'Milestone 2'!$E57</f>
        <v>0</v>
      </c>
      <c r="N57" s="85">
        <f ca="1">'Milestone 2'!$F57</f>
        <v>0</v>
      </c>
      <c r="O57" s="60">
        <f ca="1">SUM(budgetMilestone2[[#This Row],[Milestone 1]:[Final]])</f>
        <v>0</v>
      </c>
      <c r="P57" s="60">
        <f>ROW()-ROW(budgetMilestone2[#Headers])</f>
        <v>40</v>
      </c>
      <c r="Q57" s="60">
        <f>IF(budgetMilestone2[row] &lt;= numCategories +3, budgetMilestone2[row]-1, MOD(budgetMilestone2[row]-1,numCategories+3) + IF(MOD(budgetMilestone2[row]-2,numCategories+2)&gt;numCategories+1, 1,0))</f>
        <v>6</v>
      </c>
      <c r="R57" s="60">
        <f>IFERROR(INDEX(directors[Last],MAX(1,FLOOR((budgetMilestone2[row]-1)/(numCategories+3)+1,1))),1)</f>
        <v>0</v>
      </c>
    </row>
    <row r="58" spans="1:18" ht="15" customHeight="1" x14ac:dyDescent="0.25">
      <c r="A58" s="105" t="str">
        <f ca="1"/>
        <v>Stipends</v>
      </c>
      <c r="B58" s="105">
        <f ca="1"/>
        <v>0</v>
      </c>
      <c r="C58" s="105">
        <f ca="1"/>
        <v>0</v>
      </c>
      <c r="D58" s="105">
        <f ca="1"/>
        <v>0</v>
      </c>
      <c r="E58" s="105">
        <f ca="1"/>
        <v>0</v>
      </c>
      <c r="F58" s="105">
        <f ca="1"/>
        <v>0</v>
      </c>
      <c r="G58" s="105">
        <f ca="1"/>
        <v>0</v>
      </c>
      <c r="H58" s="60"/>
      <c r="I58"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Stipends</v>
      </c>
      <c r="J58" s="60">
        <f>budgetMilestone1[[#This Row],[Milestone 1]]</f>
        <v>0</v>
      </c>
      <c r="K58" s="60">
        <f>SUMIFS(ARF[Amount in Euro], ARF[Co Director],budgetMilestone2[director], ARF[Category], budgetMilestone2[Category], ARF[Date], "&gt;" &amp; cleanDateMilestone1,ARF[Date], "&lt;=" &amp; cleanDateMilestone2)</f>
        <v>0</v>
      </c>
      <c r="L58" s="85">
        <f ca="1">'Milestone 2'!$D58</f>
        <v>0</v>
      </c>
      <c r="M58" s="85">
        <f ca="1">'Milestone 2'!$E58</f>
        <v>0</v>
      </c>
      <c r="N58" s="85">
        <f ca="1">'Milestone 2'!$F58</f>
        <v>0</v>
      </c>
      <c r="O58" s="60">
        <f ca="1">SUM(budgetMilestone2[[#This Row],[Milestone 1]:[Final]])</f>
        <v>0</v>
      </c>
      <c r="P58" s="60">
        <f>ROW()-ROW(budgetMilestone2[#Headers])</f>
        <v>41</v>
      </c>
      <c r="Q58" s="60">
        <f>IF(budgetMilestone2[row] &lt;= numCategories +3, budgetMilestone2[row]-1, MOD(budgetMilestone2[row]-1,numCategories+3) + IF(MOD(budgetMilestone2[row]-2,numCategories+2)&gt;numCategories+1, 1,0))</f>
        <v>7</v>
      </c>
      <c r="R58" s="60">
        <f>IFERROR(INDEX(directors[Last],MAX(1,FLOOR((budgetMilestone2[row]-1)/(numCategories+3)+1,1))),1)</f>
        <v>0</v>
      </c>
    </row>
    <row r="59" spans="1:18" ht="15" customHeight="1" x14ac:dyDescent="0.25">
      <c r="A59" s="105" t="str">
        <f ca="1"/>
        <v>Co-financing of personnel</v>
      </c>
      <c r="B59" s="105">
        <f ca="1"/>
        <v>0</v>
      </c>
      <c r="C59" s="105">
        <f ca="1"/>
        <v>0</v>
      </c>
      <c r="D59" s="105">
        <f ca="1"/>
        <v>0</v>
      </c>
      <c r="E59" s="105">
        <f ca="1"/>
        <v>0</v>
      </c>
      <c r="F59" s="105">
        <f ca="1"/>
        <v>0</v>
      </c>
      <c r="G59" s="105">
        <f ca="1"/>
        <v>0</v>
      </c>
      <c r="H59" s="60"/>
      <c r="I59"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Co-financing of personnel</v>
      </c>
      <c r="J59" s="60">
        <f>budgetMilestone1[[#This Row],[Milestone 1]]</f>
        <v>0</v>
      </c>
      <c r="K59" s="60">
        <f>SUMIFS(ARF[Amount in Euro], ARF[Co Director],budgetMilestone2[director], ARF[Category], budgetMilestone2[Category], ARF[Date], "&gt;" &amp; cleanDateMilestone1,ARF[Date], "&lt;=" &amp; cleanDateMilestone2)</f>
        <v>0</v>
      </c>
      <c r="L59" s="85">
        <f ca="1">'Milestone 2'!$D59</f>
        <v>0</v>
      </c>
      <c r="M59" s="85">
        <f ca="1">'Milestone 2'!$E59</f>
        <v>0</v>
      </c>
      <c r="N59" s="85">
        <f ca="1">'Milestone 2'!$F59</f>
        <v>0</v>
      </c>
      <c r="O59" s="60">
        <f ca="1">SUM(budgetMilestone2[[#This Row],[Milestone 1]:[Final]])</f>
        <v>0</v>
      </c>
      <c r="P59" s="60">
        <f>ROW()-ROW(budgetMilestone2[#Headers])</f>
        <v>42</v>
      </c>
      <c r="Q59" s="60">
        <f>IF(budgetMilestone2[row] &lt;= numCategories +3, budgetMilestone2[row]-1, MOD(budgetMilestone2[row]-1,numCategories+3) + IF(MOD(budgetMilestone2[row]-2,numCategories+2)&gt;numCategories+1, 1,0))</f>
        <v>8</v>
      </c>
      <c r="R59" s="60">
        <f>IFERROR(INDEX(directors[Last],MAX(1,FLOOR((budgetMilestone2[row]-1)/(numCategories+3)+1,1))),1)</f>
        <v>0</v>
      </c>
    </row>
    <row r="60" spans="1:18" ht="15" customHeight="1" x14ac:dyDescent="0.25">
      <c r="A60" s="105" t="str">
        <f ca="1"/>
        <v>Subtotal 0</v>
      </c>
      <c r="B60" s="105">
        <f ca="1"/>
        <v>0</v>
      </c>
      <c r="C60" s="105">
        <f ca="1"/>
        <v>0</v>
      </c>
      <c r="D60" s="105">
        <f ca="1"/>
        <v>0</v>
      </c>
      <c r="E60" s="105">
        <f ca="1"/>
        <v>0</v>
      </c>
      <c r="F60" s="105">
        <f ca="1"/>
        <v>0</v>
      </c>
      <c r="G60" s="105">
        <f ca="1"/>
        <v>0</v>
      </c>
      <c r="H60" s="60"/>
      <c r="I60"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Subtotal 0</v>
      </c>
      <c r="J60" s="60">
        <f>budgetMilestone1[[#This Row],[Milestone 1]]</f>
        <v>0</v>
      </c>
      <c r="K60" s="60">
        <f t="shared" ref="K60:O82" si="3">SUBTOTAL(9,K52:K59)</f>
        <v>0</v>
      </c>
      <c r="L60" s="60">
        <f t="shared" ca="1" si="3"/>
        <v>0</v>
      </c>
      <c r="M60" s="60">
        <f t="shared" ca="1" si="3"/>
        <v>0</v>
      </c>
      <c r="N60" s="60">
        <f t="shared" ca="1" si="3"/>
        <v>0</v>
      </c>
      <c r="O60" s="60">
        <f t="shared" ca="1" si="3"/>
        <v>0</v>
      </c>
      <c r="P60" s="60">
        <f>ROW()-ROW(budgetMilestone2[#Headers])</f>
        <v>43</v>
      </c>
      <c r="Q60" s="60">
        <f>IF(budgetMilestone2[row] &lt;= numCategories +3, budgetMilestone2[row]-1, MOD(budgetMilestone2[row]-1,numCategories+3) + IF(MOD(budgetMilestone2[row]-2,numCategories+2)&gt;numCategories+1, 1,0))</f>
        <v>9</v>
      </c>
      <c r="R60" s="60">
        <f>IFERROR(INDEX(directors[Last],MAX(1,FLOOR((budgetMilestone2[row]-1)/(numCategories+3)+1,1))),1)</f>
        <v>0</v>
      </c>
    </row>
    <row r="61" spans="1:18" ht="15" customHeight="1" x14ac:dyDescent="0.25">
      <c r="A61" s="105" t="str">
        <f ca="1"/>
        <v/>
      </c>
      <c r="B61" s="105">
        <f ca="1"/>
        <v>0</v>
      </c>
      <c r="C61" s="105">
        <f ca="1"/>
        <v>0</v>
      </c>
      <c r="D61" s="105">
        <f ca="1"/>
        <v>0</v>
      </c>
      <c r="E61" s="105">
        <f ca="1"/>
        <v>0</v>
      </c>
      <c r="F61" s="105">
        <f ca="1"/>
        <v>0</v>
      </c>
      <c r="G61" s="105">
        <f ca="1"/>
        <v>0</v>
      </c>
      <c r="H61" s="60"/>
      <c r="I61"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c>
      <c r="J61" s="60">
        <f>budgetMilestone1[[#This Row],[Milestone 1]]</f>
        <v>0</v>
      </c>
      <c r="K61" s="60"/>
      <c r="L61" s="60"/>
      <c r="M61" s="60"/>
      <c r="N61" s="60"/>
      <c r="O61" s="60">
        <f>SUM(budgetMilestone2[[#This Row],[Milestone 1]:[Final]])</f>
        <v>0</v>
      </c>
      <c r="P61" s="60">
        <f>ROW()-ROW(budgetMilestone2[#Headers])</f>
        <v>44</v>
      </c>
      <c r="Q61" s="60">
        <f>IF(budgetMilestone2[row] &lt;= numCategories +3, budgetMilestone2[row]-1, MOD(budgetMilestone2[row]-1,numCategories+3) + IF(MOD(budgetMilestone2[row]-2,numCategories+2)&gt;numCategories+1, 1,0))</f>
        <v>10</v>
      </c>
      <c r="R61" s="60">
        <f>IFERROR(INDEX(directors[Last],MAX(1,FLOOR((budgetMilestone2[row]-1)/(numCategories+3)+1,1))),1)</f>
        <v>0</v>
      </c>
    </row>
    <row r="62" spans="1:18" ht="15" customHeight="1" x14ac:dyDescent="0.25">
      <c r="A62" s="105" t="str">
        <f ca="1"/>
        <v xml:space="preserve">0 / </v>
      </c>
      <c r="B62" s="105">
        <f ca="1"/>
        <v>0</v>
      </c>
      <c r="C62" s="105">
        <f ca="1"/>
        <v>0</v>
      </c>
      <c r="D62" s="105">
        <f ca="1"/>
        <v>0</v>
      </c>
      <c r="E62" s="105">
        <f ca="1"/>
        <v>0</v>
      </c>
      <c r="F62" s="105">
        <f ca="1"/>
        <v>0</v>
      </c>
      <c r="G62" s="105">
        <f ca="1"/>
        <v>0</v>
      </c>
      <c r="H62" s="60"/>
      <c r="I62"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xml:space="preserve">0 / </v>
      </c>
      <c r="J62" s="60">
        <f>budgetMilestone1[[#This Row],[Milestone 1]]</f>
        <v>0</v>
      </c>
      <c r="K62" s="60"/>
      <c r="L62" s="60"/>
      <c r="M62" s="60"/>
      <c r="N62" s="60"/>
      <c r="O62" s="60">
        <f>SUM(budgetMilestone2[[#This Row],[Milestone 1]:[Final]])</f>
        <v>0</v>
      </c>
      <c r="P62" s="60">
        <f>ROW()-ROW(budgetMilestone2[#Headers])</f>
        <v>45</v>
      </c>
      <c r="Q62" s="60">
        <f>IF(budgetMilestone2[row] &lt;= numCategories +3, budgetMilestone2[row]-1, MOD(budgetMilestone2[row]-1,numCategories+3) + IF(MOD(budgetMilestone2[row]-2,numCategories+2)&gt;numCategories+1, 1,0))</f>
        <v>0</v>
      </c>
      <c r="R62" s="60">
        <f>IFERROR(INDEX(directors[Last],MAX(1,FLOOR((budgetMilestone2[row]-1)/(numCategories+3)+1,1))),1)</f>
        <v>0</v>
      </c>
    </row>
    <row r="63" spans="1:18" ht="15" customHeight="1" x14ac:dyDescent="0.25">
      <c r="A63" s="105" t="str">
        <f ca="1"/>
        <v>Equipment</v>
      </c>
      <c r="B63" s="105">
        <f ca="1"/>
        <v>0</v>
      </c>
      <c r="C63" s="105">
        <f ca="1"/>
        <v>0</v>
      </c>
      <c r="D63" s="105">
        <f ca="1"/>
        <v>0</v>
      </c>
      <c r="E63" s="105">
        <f ca="1"/>
        <v>0</v>
      </c>
      <c r="F63" s="105">
        <f ca="1"/>
        <v>0</v>
      </c>
      <c r="G63" s="105">
        <f ca="1"/>
        <v>0</v>
      </c>
      <c r="H63" s="60"/>
      <c r="I63"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Equipment</v>
      </c>
      <c r="J63" s="60">
        <f>budgetMilestone1[[#This Row],[Milestone 1]]</f>
        <v>0</v>
      </c>
      <c r="K63" s="60">
        <f>SUMIFS(ARF[Amount in Euro], ARF[Co Director],budgetMilestone2[director], ARF[Category], budgetMilestone2[Category], ARF[Date], "&gt;" &amp; cleanDateMilestone1,ARF[Date], "&lt;=" &amp; cleanDateMilestone2)</f>
        <v>0</v>
      </c>
      <c r="L63" s="85">
        <f ca="1">'Milestone 2'!$D63</f>
        <v>0</v>
      </c>
      <c r="M63" s="85">
        <f ca="1">'Milestone 2'!$E63</f>
        <v>0</v>
      </c>
      <c r="N63" s="85">
        <f ca="1">'Milestone 2'!$F63</f>
        <v>0</v>
      </c>
      <c r="O63" s="60">
        <f ca="1">SUM(budgetMilestone2[[#This Row],[Milestone 1]:[Final]])</f>
        <v>0</v>
      </c>
      <c r="P63" s="60">
        <f>ROW()-ROW(budgetMilestone2[#Headers])</f>
        <v>46</v>
      </c>
      <c r="Q63" s="60">
        <f>IF(budgetMilestone2[row] &lt;= numCategories +3, budgetMilestone2[row]-1, MOD(budgetMilestone2[row]-1,numCategories+3) + IF(MOD(budgetMilestone2[row]-2,numCategories+2)&gt;numCategories+1, 1,0))</f>
        <v>1</v>
      </c>
      <c r="R63" s="60">
        <f>IFERROR(INDEX(directors[Last],MAX(1,FLOOR((budgetMilestone2[row]-1)/(numCategories+3)+1,1))),1)</f>
        <v>0</v>
      </c>
    </row>
    <row r="64" spans="1:18" ht="15" customHeight="1" x14ac:dyDescent="0.25">
      <c r="A64" s="105" t="str">
        <f ca="1"/>
        <v>Training</v>
      </c>
      <c r="B64" s="105">
        <f ca="1"/>
        <v>0</v>
      </c>
      <c r="C64" s="105">
        <f ca="1"/>
        <v>0</v>
      </c>
      <c r="D64" s="105">
        <f ca="1"/>
        <v>0</v>
      </c>
      <c r="E64" s="105">
        <f ca="1"/>
        <v>0</v>
      </c>
      <c r="F64" s="105">
        <f ca="1"/>
        <v>0</v>
      </c>
      <c r="G64" s="105">
        <f ca="1"/>
        <v>0</v>
      </c>
      <c r="H64" s="60"/>
      <c r="I64"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Training</v>
      </c>
      <c r="J64" s="60">
        <f>budgetMilestone1[[#This Row],[Milestone 1]]</f>
        <v>0</v>
      </c>
      <c r="K64" s="60">
        <f>SUMIFS(ARF[Amount in Euro], ARF[Co Director],budgetMilestone2[director], ARF[Category], budgetMilestone2[Category], ARF[Date], "&gt;" &amp; cleanDateMilestone1,ARF[Date], "&lt;=" &amp; cleanDateMilestone2)</f>
        <v>0</v>
      </c>
      <c r="L64" s="85">
        <f ca="1">'Milestone 2'!$D64</f>
        <v>0</v>
      </c>
      <c r="M64" s="85">
        <f ca="1">'Milestone 2'!$E64</f>
        <v>0</v>
      </c>
      <c r="N64" s="85">
        <f ca="1">'Milestone 2'!$F64</f>
        <v>0</v>
      </c>
      <c r="O64" s="60">
        <f ca="1">SUM(budgetMilestone2[[#This Row],[Milestone 1]:[Final]])</f>
        <v>0</v>
      </c>
      <c r="P64" s="60">
        <f>ROW()-ROW(budgetMilestone2[#Headers])</f>
        <v>47</v>
      </c>
      <c r="Q64" s="60">
        <f>IF(budgetMilestone2[row] &lt;= numCategories +3, budgetMilestone2[row]-1, MOD(budgetMilestone2[row]-1,numCategories+3) + IF(MOD(budgetMilestone2[row]-2,numCategories+2)&gt;numCategories+1, 1,0))</f>
        <v>2</v>
      </c>
      <c r="R64" s="60">
        <f>IFERROR(INDEX(directors[Last],MAX(1,FLOOR((budgetMilestone2[row]-1)/(numCategories+3)+1,1))),1)</f>
        <v>0</v>
      </c>
    </row>
    <row r="65" spans="1:18" ht="15" customHeight="1" x14ac:dyDescent="0.25">
      <c r="A65" s="105" t="str">
        <f ca="1"/>
        <v>Communication &amp; Publication</v>
      </c>
      <c r="B65" s="105">
        <f ca="1"/>
        <v>0</v>
      </c>
      <c r="C65" s="105">
        <f ca="1"/>
        <v>0</v>
      </c>
      <c r="D65" s="105">
        <f ca="1"/>
        <v>0</v>
      </c>
      <c r="E65" s="105">
        <f ca="1"/>
        <v>0</v>
      </c>
      <c r="F65" s="105">
        <f ca="1"/>
        <v>0</v>
      </c>
      <c r="G65" s="105">
        <f ca="1"/>
        <v>0</v>
      </c>
      <c r="H65" s="60"/>
      <c r="I65"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Communication &amp; Publication</v>
      </c>
      <c r="J65" s="60">
        <f>budgetMilestone1[[#This Row],[Milestone 1]]</f>
        <v>0</v>
      </c>
      <c r="K65" s="60">
        <f>SUMIFS(ARF[Amount in Euro], ARF[Co Director],budgetMilestone2[director], ARF[Category], budgetMilestone2[Category], ARF[Date], "&gt;" &amp; cleanDateMilestone1,ARF[Date], "&lt;=" &amp; cleanDateMilestone2)</f>
        <v>0</v>
      </c>
      <c r="L65" s="85">
        <f ca="1">'Milestone 2'!$D65</f>
        <v>0</v>
      </c>
      <c r="M65" s="85">
        <f ca="1">'Milestone 2'!$E65</f>
        <v>0</v>
      </c>
      <c r="N65" s="85">
        <f ca="1">'Milestone 2'!$F65</f>
        <v>0</v>
      </c>
      <c r="O65" s="60">
        <f ca="1">SUM(budgetMilestone2[[#This Row],[Milestone 1]:[Final]])</f>
        <v>0</v>
      </c>
      <c r="P65" s="60">
        <f>ROW()-ROW(budgetMilestone2[#Headers])</f>
        <v>48</v>
      </c>
      <c r="Q65" s="60">
        <f>IF(budgetMilestone2[row] &lt;= numCategories +3, budgetMilestone2[row]-1, MOD(budgetMilestone2[row]-1,numCategories+3) + IF(MOD(budgetMilestone2[row]-2,numCategories+2)&gt;numCategories+1, 1,0))</f>
        <v>3</v>
      </c>
      <c r="R65" s="60">
        <f>IFERROR(INDEX(directors[Last],MAX(1,FLOOR((budgetMilestone2[row]-1)/(numCategories+3)+1,1))),1)</f>
        <v>0</v>
      </c>
    </row>
    <row r="66" spans="1:18" ht="15" customHeight="1" x14ac:dyDescent="0.25">
      <c r="A66" s="105" t="str">
        <f ca="1"/>
        <v>Travel</v>
      </c>
      <c r="B66" s="105">
        <f ca="1"/>
        <v>0</v>
      </c>
      <c r="C66" s="105">
        <f ca="1"/>
        <v>0</v>
      </c>
      <c r="D66" s="105">
        <f ca="1"/>
        <v>0</v>
      </c>
      <c r="E66" s="105">
        <f ca="1"/>
        <v>0</v>
      </c>
      <c r="F66" s="105">
        <f ca="1"/>
        <v>0</v>
      </c>
      <c r="G66" s="105">
        <f ca="1"/>
        <v>0</v>
      </c>
      <c r="H66" s="60"/>
      <c r="I66"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Travel</v>
      </c>
      <c r="J66" s="60">
        <f>budgetMilestone1[[#This Row],[Milestone 1]]</f>
        <v>0</v>
      </c>
      <c r="K66" s="60">
        <f>SUMIFS(ARF[Amount in Euro], ARF[Co Director],budgetMilestone2[director], ARF[Category], budgetMilestone2[Category], ARF[Date], "&gt;" &amp; cleanDateMilestone1,ARF[Date], "&lt;=" &amp; cleanDateMilestone2)</f>
        <v>0</v>
      </c>
      <c r="L66" s="85">
        <f ca="1">'Milestone 2'!$D66</f>
        <v>0</v>
      </c>
      <c r="M66" s="85">
        <f ca="1">'Milestone 2'!$E66</f>
        <v>0</v>
      </c>
      <c r="N66" s="85">
        <f ca="1">'Milestone 2'!$F66</f>
        <v>0</v>
      </c>
      <c r="O66" s="60">
        <f ca="1">SUM(budgetMilestone2[[#This Row],[Milestone 1]:[Final]])</f>
        <v>0</v>
      </c>
      <c r="P66" s="60">
        <f>ROW()-ROW(budgetMilestone2[#Headers])</f>
        <v>49</v>
      </c>
      <c r="Q66" s="60">
        <f>IF(budgetMilestone2[row] &lt;= numCategories +3, budgetMilestone2[row]-1, MOD(budgetMilestone2[row]-1,numCategories+3) + IF(MOD(budgetMilestone2[row]-2,numCategories+2)&gt;numCategories+1, 1,0))</f>
        <v>4</v>
      </c>
      <c r="R66" s="60">
        <f>IFERROR(INDEX(directors[Last],MAX(1,FLOOR((budgetMilestone2[row]-1)/(numCategories+3)+1,1))),1)</f>
        <v>0</v>
      </c>
    </row>
    <row r="67" spans="1:18" ht="15" customHeight="1" x14ac:dyDescent="0.25">
      <c r="A67" s="105" t="str">
        <f ca="1"/>
        <v>Consumables</v>
      </c>
      <c r="B67" s="105">
        <f ca="1"/>
        <v>0</v>
      </c>
      <c r="C67" s="105">
        <f ca="1"/>
        <v>0</v>
      </c>
      <c r="D67" s="105">
        <f ca="1"/>
        <v>0</v>
      </c>
      <c r="E67" s="105">
        <f ca="1"/>
        <v>0</v>
      </c>
      <c r="F67" s="105">
        <f ca="1"/>
        <v>0</v>
      </c>
      <c r="G67" s="105">
        <f ca="1"/>
        <v>0</v>
      </c>
      <c r="H67" s="60"/>
      <c r="I67"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Consumables</v>
      </c>
      <c r="J67" s="60">
        <f>budgetMilestone1[[#This Row],[Milestone 1]]</f>
        <v>0</v>
      </c>
      <c r="K67" s="60">
        <f>SUMIFS(ARF[Amount in Euro], ARF[Co Director],budgetMilestone2[director], ARF[Category], budgetMilestone2[Category], ARF[Date], "&gt;" &amp; cleanDateMilestone1,ARF[Date], "&lt;=" &amp; cleanDateMilestone2)</f>
        <v>0</v>
      </c>
      <c r="L67" s="85">
        <f ca="1">'Milestone 2'!$D67</f>
        <v>0</v>
      </c>
      <c r="M67" s="85">
        <f ca="1">'Milestone 2'!$E67</f>
        <v>0</v>
      </c>
      <c r="N67" s="85">
        <f ca="1">'Milestone 2'!$F67</f>
        <v>0</v>
      </c>
      <c r="O67" s="60">
        <f ca="1">SUM(budgetMilestone2[[#This Row],[Milestone 1]:[Final]])</f>
        <v>0</v>
      </c>
      <c r="P67" s="60">
        <f>ROW()-ROW(budgetMilestone2[#Headers])</f>
        <v>50</v>
      </c>
      <c r="Q67" s="60">
        <f>IF(budgetMilestone2[row] &lt;= numCategories +3, budgetMilestone2[row]-1, MOD(budgetMilestone2[row]-1,numCategories+3) + IF(MOD(budgetMilestone2[row]-2,numCategories+2)&gt;numCategories+1, 1,0))</f>
        <v>5</v>
      </c>
      <c r="R67" s="60">
        <f>IFERROR(INDEX(directors[Last],MAX(1,FLOOR((budgetMilestone2[row]-1)/(numCategories+3)+1,1))),1)</f>
        <v>0</v>
      </c>
    </row>
    <row r="68" spans="1:18" ht="15" customHeight="1" x14ac:dyDescent="0.25">
      <c r="A68" s="105" t="str">
        <f ca="1"/>
        <v>Other</v>
      </c>
      <c r="B68" s="105">
        <f ca="1"/>
        <v>0</v>
      </c>
      <c r="C68" s="105">
        <f ca="1"/>
        <v>0</v>
      </c>
      <c r="D68" s="105">
        <f ca="1"/>
        <v>0</v>
      </c>
      <c r="E68" s="105">
        <f ca="1"/>
        <v>0</v>
      </c>
      <c r="F68" s="105">
        <f ca="1"/>
        <v>0</v>
      </c>
      <c r="G68" s="105">
        <f ca="1"/>
        <v>0</v>
      </c>
      <c r="H68" s="60"/>
      <c r="I68"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Other</v>
      </c>
      <c r="J68" s="60">
        <f>budgetMilestone1[[#This Row],[Milestone 1]]</f>
        <v>0</v>
      </c>
      <c r="K68" s="60">
        <f>SUMIFS(ARF[Amount in Euro], ARF[Co Director],budgetMilestone2[director], ARF[Category], budgetMilestone2[Category], ARF[Date], "&gt;" &amp; cleanDateMilestone1,ARF[Date], "&lt;=" &amp; cleanDateMilestone2)</f>
        <v>0</v>
      </c>
      <c r="L68" s="85">
        <f ca="1">'Milestone 2'!$D68</f>
        <v>0</v>
      </c>
      <c r="M68" s="85">
        <f ca="1">'Milestone 2'!$E68</f>
        <v>0</v>
      </c>
      <c r="N68" s="85">
        <f ca="1">'Milestone 2'!$F68</f>
        <v>0</v>
      </c>
      <c r="O68" s="60">
        <f ca="1">SUM(budgetMilestone2[[#This Row],[Milestone 1]:[Final]])</f>
        <v>0</v>
      </c>
      <c r="P68" s="60">
        <f>ROW()-ROW(budgetMilestone2[#Headers])</f>
        <v>51</v>
      </c>
      <c r="Q68" s="60">
        <f>IF(budgetMilestone2[row] &lt;= numCategories +3, budgetMilestone2[row]-1, MOD(budgetMilestone2[row]-1,numCategories+3) + IF(MOD(budgetMilestone2[row]-2,numCategories+2)&gt;numCategories+1, 1,0))</f>
        <v>6</v>
      </c>
      <c r="R68" s="60">
        <f>IFERROR(INDEX(directors[Last],MAX(1,FLOOR((budgetMilestone2[row]-1)/(numCategories+3)+1,1))),1)</f>
        <v>0</v>
      </c>
    </row>
    <row r="69" spans="1:18" ht="15" customHeight="1" x14ac:dyDescent="0.25">
      <c r="A69" s="105" t="str">
        <f ca="1"/>
        <v>Stipends</v>
      </c>
      <c r="B69" s="105">
        <f ca="1"/>
        <v>0</v>
      </c>
      <c r="C69" s="105">
        <f ca="1"/>
        <v>0</v>
      </c>
      <c r="D69" s="105">
        <f ca="1"/>
        <v>0</v>
      </c>
      <c r="E69" s="105">
        <f ca="1"/>
        <v>0</v>
      </c>
      <c r="F69" s="105">
        <f ca="1"/>
        <v>0</v>
      </c>
      <c r="G69" s="105">
        <f ca="1"/>
        <v>0</v>
      </c>
      <c r="H69" s="60"/>
      <c r="I69"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Stipends</v>
      </c>
      <c r="J69" s="60">
        <f>budgetMilestone1[[#This Row],[Milestone 1]]</f>
        <v>0</v>
      </c>
      <c r="K69" s="60">
        <f>SUMIFS(ARF[Amount in Euro], ARF[Co Director],budgetMilestone2[director], ARF[Category], budgetMilestone2[Category], ARF[Date], "&gt;" &amp; cleanDateMilestone1,ARF[Date], "&lt;=" &amp; cleanDateMilestone2)</f>
        <v>0</v>
      </c>
      <c r="L69" s="85">
        <f ca="1">'Milestone 2'!$D69</f>
        <v>0</v>
      </c>
      <c r="M69" s="85">
        <f ca="1">'Milestone 2'!$E69</f>
        <v>0</v>
      </c>
      <c r="N69" s="85">
        <f ca="1">'Milestone 2'!$F69</f>
        <v>0</v>
      </c>
      <c r="O69" s="60">
        <f ca="1">SUM(budgetMilestone2[[#This Row],[Milestone 1]:[Final]])</f>
        <v>0</v>
      </c>
      <c r="P69" s="60">
        <f>ROW()-ROW(budgetMilestone2[#Headers])</f>
        <v>52</v>
      </c>
      <c r="Q69" s="60">
        <f>IF(budgetMilestone2[row] &lt;= numCategories +3, budgetMilestone2[row]-1, MOD(budgetMilestone2[row]-1,numCategories+3) + IF(MOD(budgetMilestone2[row]-2,numCategories+2)&gt;numCategories+1, 1,0))</f>
        <v>7</v>
      </c>
      <c r="R69" s="60">
        <f>IFERROR(INDEX(directors[Last],MAX(1,FLOOR((budgetMilestone2[row]-1)/(numCategories+3)+1,1))),1)</f>
        <v>0</v>
      </c>
    </row>
    <row r="70" spans="1:18" ht="15" customHeight="1" x14ac:dyDescent="0.25">
      <c r="A70" s="105" t="str">
        <f ca="1"/>
        <v>Co-financing of personnel</v>
      </c>
      <c r="B70" s="105">
        <f ca="1"/>
        <v>0</v>
      </c>
      <c r="C70" s="105">
        <f ca="1"/>
        <v>0</v>
      </c>
      <c r="D70" s="105">
        <f ca="1"/>
        <v>0</v>
      </c>
      <c r="E70" s="105">
        <f ca="1"/>
        <v>0</v>
      </c>
      <c r="F70" s="105">
        <f ca="1"/>
        <v>0</v>
      </c>
      <c r="G70" s="105">
        <f ca="1"/>
        <v>0</v>
      </c>
      <c r="H70" s="60"/>
      <c r="I70"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Co-financing of personnel</v>
      </c>
      <c r="J70" s="60">
        <f>budgetMilestone1[[#This Row],[Milestone 1]]</f>
        <v>0</v>
      </c>
      <c r="K70" s="60">
        <f>SUMIFS(ARF[Amount in Euro], ARF[Co Director],budgetMilestone2[director], ARF[Category], budgetMilestone2[Category], ARF[Date], "&gt;" &amp; cleanDateMilestone1,ARF[Date], "&lt;=" &amp; cleanDateMilestone2)</f>
        <v>0</v>
      </c>
      <c r="L70" s="85">
        <f ca="1">'Milestone 2'!$D70</f>
        <v>0</v>
      </c>
      <c r="M70" s="85">
        <f ca="1">'Milestone 2'!$E70</f>
        <v>0</v>
      </c>
      <c r="N70" s="85">
        <f ca="1">'Milestone 2'!$F70</f>
        <v>0</v>
      </c>
      <c r="O70" s="60">
        <f ca="1">SUM(budgetMilestone2[[#This Row],[Milestone 1]:[Final]])</f>
        <v>0</v>
      </c>
      <c r="P70" s="60">
        <f>ROW()-ROW(budgetMilestone2[#Headers])</f>
        <v>53</v>
      </c>
      <c r="Q70" s="60">
        <f>IF(budgetMilestone2[row] &lt;= numCategories +3, budgetMilestone2[row]-1, MOD(budgetMilestone2[row]-1,numCategories+3) + IF(MOD(budgetMilestone2[row]-2,numCategories+2)&gt;numCategories+1, 1,0))</f>
        <v>8</v>
      </c>
      <c r="R70" s="60">
        <f>IFERROR(INDEX(directors[Last],MAX(1,FLOOR((budgetMilestone2[row]-1)/(numCategories+3)+1,1))),1)</f>
        <v>0</v>
      </c>
    </row>
    <row r="71" spans="1:18" ht="15" customHeight="1" x14ac:dyDescent="0.25">
      <c r="A71" s="105" t="str">
        <f ca="1"/>
        <v>Subtotal 0</v>
      </c>
      <c r="B71" s="105">
        <f ca="1"/>
        <v>0</v>
      </c>
      <c r="C71" s="105">
        <f ca="1"/>
        <v>0</v>
      </c>
      <c r="D71" s="105">
        <f ca="1"/>
        <v>0</v>
      </c>
      <c r="E71" s="105">
        <f ca="1"/>
        <v>0</v>
      </c>
      <c r="F71" s="105">
        <f ca="1"/>
        <v>0</v>
      </c>
      <c r="G71" s="105">
        <f ca="1"/>
        <v>0</v>
      </c>
      <c r="H71" s="60"/>
      <c r="I71"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Subtotal 0</v>
      </c>
      <c r="J71" s="60">
        <f>budgetMilestone1[[#This Row],[Milestone 1]]</f>
        <v>0</v>
      </c>
      <c r="K71" s="60">
        <f t="shared" ref="K71:O93" si="4">SUBTOTAL(9,K63:K70)</f>
        <v>0</v>
      </c>
      <c r="L71" s="60">
        <f t="shared" ca="1" si="4"/>
        <v>0</v>
      </c>
      <c r="M71" s="60">
        <f t="shared" ca="1" si="4"/>
        <v>0</v>
      </c>
      <c r="N71" s="60">
        <f t="shared" ca="1" si="4"/>
        <v>0</v>
      </c>
      <c r="O71" s="60">
        <f t="shared" ca="1" si="4"/>
        <v>0</v>
      </c>
      <c r="P71" s="60">
        <f>ROW()-ROW(budgetMilestone2[#Headers])</f>
        <v>54</v>
      </c>
      <c r="Q71" s="60">
        <f>IF(budgetMilestone2[row] &lt;= numCategories +3, budgetMilestone2[row]-1, MOD(budgetMilestone2[row]-1,numCategories+3) + IF(MOD(budgetMilestone2[row]-2,numCategories+2)&gt;numCategories+1, 1,0))</f>
        <v>9</v>
      </c>
      <c r="R71" s="60">
        <f>IFERROR(INDEX(directors[Last],MAX(1,FLOOR((budgetMilestone2[row]-1)/(numCategories+3)+1,1))),1)</f>
        <v>0</v>
      </c>
    </row>
    <row r="72" spans="1:18" ht="15" customHeight="1" x14ac:dyDescent="0.25">
      <c r="A72" s="105" t="str">
        <f ca="1"/>
        <v/>
      </c>
      <c r="B72" s="105">
        <f ca="1"/>
        <v>0</v>
      </c>
      <c r="C72" s="105">
        <f ca="1"/>
        <v>0</v>
      </c>
      <c r="D72" s="105">
        <f ca="1"/>
        <v>0</v>
      </c>
      <c r="E72" s="105">
        <f ca="1"/>
        <v>0</v>
      </c>
      <c r="F72" s="105">
        <f ca="1"/>
        <v>0</v>
      </c>
      <c r="G72" s="105">
        <f ca="1"/>
        <v>0</v>
      </c>
      <c r="H72" s="60"/>
      <c r="I72"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c>
      <c r="J72" s="60">
        <f>budgetMilestone1[[#This Row],[Milestone 1]]</f>
        <v>0</v>
      </c>
      <c r="K72" s="60"/>
      <c r="L72" s="60"/>
      <c r="M72" s="60"/>
      <c r="N72" s="60"/>
      <c r="O72" s="60"/>
      <c r="P72" s="60">
        <f>ROW()-ROW(budgetMilestone2[#Headers])</f>
        <v>55</v>
      </c>
      <c r="Q72" s="60">
        <f>IF(budgetMilestone2[row] &lt;= numCategories +3, budgetMilestone2[row]-1, MOD(budgetMilestone2[row]-1,numCategories+3) + IF(MOD(budgetMilestone2[row]-2,numCategories+2)&gt;numCategories+1, 1,0))</f>
        <v>10</v>
      </c>
      <c r="R72" s="60">
        <f>IFERROR(INDEX(directors[Last],MAX(1,FLOOR((budgetMilestone2[row]-1)/(numCategories+3)+1,1))),1)</f>
        <v>0</v>
      </c>
    </row>
    <row r="73" spans="1:18" ht="15" customHeight="1" x14ac:dyDescent="0.25">
      <c r="A73" s="105" t="str">
        <f ca="1"/>
        <v xml:space="preserve">0 / </v>
      </c>
      <c r="B73" s="105">
        <f ca="1"/>
        <v>0</v>
      </c>
      <c r="C73" s="105">
        <f ca="1"/>
        <v>0</v>
      </c>
      <c r="D73" s="105">
        <f ca="1"/>
        <v>0</v>
      </c>
      <c r="E73" s="105">
        <f ca="1"/>
        <v>0</v>
      </c>
      <c r="F73" s="105">
        <f ca="1"/>
        <v>0</v>
      </c>
      <c r="G73" s="105">
        <f ca="1"/>
        <v>0</v>
      </c>
      <c r="H73" s="60"/>
      <c r="I73"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xml:space="preserve">0 / </v>
      </c>
      <c r="J73" s="60">
        <f>budgetMilestone1[[#This Row],[Milestone 1]]</f>
        <v>0</v>
      </c>
      <c r="K73" s="60"/>
      <c r="L73" s="60"/>
      <c r="M73" s="60"/>
      <c r="N73" s="60"/>
      <c r="O73" s="60">
        <f>SUM(budgetMilestone2[[#This Row],[Milestone 1]:[Final]])</f>
        <v>0</v>
      </c>
      <c r="P73" s="60">
        <f>ROW()-ROW(budgetMilestone2[#Headers])</f>
        <v>56</v>
      </c>
      <c r="Q73" s="60">
        <f>IF(budgetMilestone2[row] &lt;= numCategories +3, budgetMilestone2[row]-1, MOD(budgetMilestone2[row]-1,numCategories+3) + IF(MOD(budgetMilestone2[row]-2,numCategories+2)&gt;numCategories+1, 1,0))</f>
        <v>0</v>
      </c>
      <c r="R73" s="60">
        <f>IFERROR(INDEX(directors[Last],MAX(1,FLOOR((budgetMilestone2[row]-1)/(numCategories+3)+1,1))),1)</f>
        <v>0</v>
      </c>
    </row>
    <row r="74" spans="1:18" ht="15" customHeight="1" x14ac:dyDescent="0.25">
      <c r="A74" s="105" t="str">
        <f ca="1"/>
        <v>Equipment</v>
      </c>
      <c r="B74" s="105">
        <f ca="1"/>
        <v>0</v>
      </c>
      <c r="C74" s="105">
        <f ca="1"/>
        <v>0</v>
      </c>
      <c r="D74" s="105">
        <f ca="1"/>
        <v>0</v>
      </c>
      <c r="E74" s="105">
        <f ca="1"/>
        <v>0</v>
      </c>
      <c r="F74" s="105">
        <f ca="1"/>
        <v>0</v>
      </c>
      <c r="G74" s="105">
        <f ca="1"/>
        <v>0</v>
      </c>
      <c r="H74" s="60"/>
      <c r="I74"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Equipment</v>
      </c>
      <c r="J74" s="60">
        <f>budgetMilestone1[[#This Row],[Milestone 1]]</f>
        <v>0</v>
      </c>
      <c r="K74" s="60">
        <f>SUMIFS(ARF[Amount in Euro], ARF[Co Director],budgetMilestone2[director], ARF[Category], budgetMilestone2[Category], ARF[Date], "&gt;" &amp; cleanDateMilestone1,ARF[Date], "&lt;=" &amp; cleanDateMilestone2)</f>
        <v>0</v>
      </c>
      <c r="L74" s="85">
        <f ca="1">'Milestone 2'!$D74</f>
        <v>0</v>
      </c>
      <c r="M74" s="85">
        <f ca="1">'Milestone 2'!$E74</f>
        <v>0</v>
      </c>
      <c r="N74" s="85">
        <f ca="1">'Milestone 2'!$F74</f>
        <v>0</v>
      </c>
      <c r="O74" s="60">
        <f ca="1">SUM(budgetMilestone2[[#This Row],[Milestone 1]:[Final]])</f>
        <v>0</v>
      </c>
      <c r="P74" s="60">
        <f>ROW()-ROW(budgetMilestone2[#Headers])</f>
        <v>57</v>
      </c>
      <c r="Q74" s="60">
        <f>IF(budgetMilestone2[row] &lt;= numCategories +3, budgetMilestone2[row]-1, MOD(budgetMilestone2[row]-1,numCategories+3) + IF(MOD(budgetMilestone2[row]-2,numCategories+2)&gt;numCategories+1, 1,0))</f>
        <v>1</v>
      </c>
      <c r="R74" s="60">
        <f>IFERROR(INDEX(directors[Last],MAX(1,FLOOR((budgetMilestone2[row]-1)/(numCategories+3)+1,1))),1)</f>
        <v>0</v>
      </c>
    </row>
    <row r="75" spans="1:18" ht="15" customHeight="1" x14ac:dyDescent="0.25">
      <c r="A75" s="105" t="str">
        <f ca="1"/>
        <v>Training</v>
      </c>
      <c r="B75" s="105">
        <f ca="1"/>
        <v>0</v>
      </c>
      <c r="C75" s="105">
        <f ca="1"/>
        <v>0</v>
      </c>
      <c r="D75" s="105">
        <f ca="1"/>
        <v>0</v>
      </c>
      <c r="E75" s="105">
        <f ca="1"/>
        <v>0</v>
      </c>
      <c r="F75" s="105">
        <f ca="1"/>
        <v>0</v>
      </c>
      <c r="G75" s="105">
        <f ca="1"/>
        <v>0</v>
      </c>
      <c r="H75" s="60"/>
      <c r="I75"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Training</v>
      </c>
      <c r="J75" s="60">
        <f>budgetMilestone1[[#This Row],[Milestone 1]]</f>
        <v>0</v>
      </c>
      <c r="K75" s="60">
        <f>SUMIFS(ARF[Amount in Euro], ARF[Co Director],budgetMilestone2[director], ARF[Category], budgetMilestone2[Category], ARF[Date], "&gt;" &amp; cleanDateMilestone1,ARF[Date], "&lt;=" &amp; cleanDateMilestone2)</f>
        <v>0</v>
      </c>
      <c r="L75" s="85">
        <f ca="1">'Milestone 2'!$D75</f>
        <v>0</v>
      </c>
      <c r="M75" s="85">
        <f ca="1">'Milestone 2'!$E75</f>
        <v>0</v>
      </c>
      <c r="N75" s="85">
        <f ca="1">'Milestone 2'!$F75</f>
        <v>0</v>
      </c>
      <c r="O75" s="60">
        <f ca="1">SUM(budgetMilestone2[[#This Row],[Milestone 1]:[Final]])</f>
        <v>0</v>
      </c>
      <c r="P75" s="60">
        <f>ROW()-ROW(budgetMilestone2[#Headers])</f>
        <v>58</v>
      </c>
      <c r="Q75" s="60">
        <f>IF(budgetMilestone2[row] &lt;= numCategories +3, budgetMilestone2[row]-1, MOD(budgetMilestone2[row]-1,numCategories+3) + IF(MOD(budgetMilestone2[row]-2,numCategories+2)&gt;numCategories+1, 1,0))</f>
        <v>2</v>
      </c>
      <c r="R75" s="60">
        <f>IFERROR(INDEX(directors[Last],MAX(1,FLOOR((budgetMilestone2[row]-1)/(numCategories+3)+1,1))),1)</f>
        <v>0</v>
      </c>
    </row>
    <row r="76" spans="1:18" ht="15" customHeight="1" x14ac:dyDescent="0.25">
      <c r="A76" s="105" t="str">
        <f ca="1"/>
        <v>Communication &amp; Publication</v>
      </c>
      <c r="B76" s="105">
        <f ca="1"/>
        <v>0</v>
      </c>
      <c r="C76" s="105">
        <f ca="1"/>
        <v>0</v>
      </c>
      <c r="D76" s="105">
        <f ca="1"/>
        <v>0</v>
      </c>
      <c r="E76" s="105">
        <f ca="1"/>
        <v>0</v>
      </c>
      <c r="F76" s="105">
        <f ca="1"/>
        <v>0</v>
      </c>
      <c r="G76" s="105">
        <f ca="1"/>
        <v>0</v>
      </c>
      <c r="H76" s="60"/>
      <c r="I76"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Communication &amp; Publication</v>
      </c>
      <c r="J76" s="60">
        <f>budgetMilestone1[[#This Row],[Milestone 1]]</f>
        <v>0</v>
      </c>
      <c r="K76" s="60">
        <f>SUMIFS(ARF[Amount in Euro], ARF[Co Director],budgetMilestone2[director], ARF[Category], budgetMilestone2[Category], ARF[Date], "&gt;" &amp; cleanDateMilestone1,ARF[Date], "&lt;=" &amp; cleanDateMilestone2)</f>
        <v>0</v>
      </c>
      <c r="L76" s="85">
        <f ca="1">'Milestone 2'!$D76</f>
        <v>0</v>
      </c>
      <c r="M76" s="85">
        <f ca="1">'Milestone 2'!$E76</f>
        <v>0</v>
      </c>
      <c r="N76" s="85">
        <f ca="1">'Milestone 2'!$F76</f>
        <v>0</v>
      </c>
      <c r="O76" s="60">
        <f ca="1">SUM(budgetMilestone2[[#This Row],[Milestone 1]:[Final]])</f>
        <v>0</v>
      </c>
      <c r="P76" s="60">
        <f>ROW()-ROW(budgetMilestone2[#Headers])</f>
        <v>59</v>
      </c>
      <c r="Q76" s="60">
        <f>IF(budgetMilestone2[row] &lt;= numCategories +3, budgetMilestone2[row]-1, MOD(budgetMilestone2[row]-1,numCategories+3) + IF(MOD(budgetMilestone2[row]-2,numCategories+2)&gt;numCategories+1, 1,0))</f>
        <v>3</v>
      </c>
      <c r="R76" s="60">
        <f>IFERROR(INDEX(directors[Last],MAX(1,FLOOR((budgetMilestone2[row]-1)/(numCategories+3)+1,1))),1)</f>
        <v>0</v>
      </c>
    </row>
    <row r="77" spans="1:18" ht="15" customHeight="1" x14ac:dyDescent="0.25">
      <c r="A77" s="105" t="str">
        <f ca="1"/>
        <v>Travel</v>
      </c>
      <c r="B77" s="105">
        <f ca="1"/>
        <v>0</v>
      </c>
      <c r="C77" s="105">
        <f ca="1"/>
        <v>0</v>
      </c>
      <c r="D77" s="105">
        <f ca="1"/>
        <v>0</v>
      </c>
      <c r="E77" s="105">
        <f ca="1"/>
        <v>0</v>
      </c>
      <c r="F77" s="105">
        <f ca="1"/>
        <v>0</v>
      </c>
      <c r="G77" s="105">
        <f ca="1"/>
        <v>0</v>
      </c>
      <c r="H77" s="60"/>
      <c r="I77"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Travel</v>
      </c>
      <c r="J77" s="60">
        <f>budgetMilestone1[[#This Row],[Milestone 1]]</f>
        <v>0</v>
      </c>
      <c r="K77" s="60">
        <f>SUMIFS(ARF[Amount in Euro], ARF[Co Director],budgetMilestone2[director], ARF[Category], budgetMilestone2[Category], ARF[Date], "&gt;" &amp; cleanDateMilestone1,ARF[Date], "&lt;=" &amp; cleanDateMilestone2)</f>
        <v>0</v>
      </c>
      <c r="L77" s="85">
        <f ca="1">'Milestone 2'!$D77</f>
        <v>0</v>
      </c>
      <c r="M77" s="85">
        <f ca="1">'Milestone 2'!$E77</f>
        <v>0</v>
      </c>
      <c r="N77" s="85">
        <f ca="1">'Milestone 2'!$F77</f>
        <v>0</v>
      </c>
      <c r="O77" s="60">
        <f ca="1">SUM(budgetMilestone2[[#This Row],[Milestone 1]:[Final]])</f>
        <v>0</v>
      </c>
      <c r="P77" s="60">
        <f>ROW()-ROW(budgetMilestone2[#Headers])</f>
        <v>60</v>
      </c>
      <c r="Q77" s="60">
        <f>IF(budgetMilestone2[row] &lt;= numCategories +3, budgetMilestone2[row]-1, MOD(budgetMilestone2[row]-1,numCategories+3) + IF(MOD(budgetMilestone2[row]-2,numCategories+2)&gt;numCategories+1, 1,0))</f>
        <v>4</v>
      </c>
      <c r="R77" s="60">
        <f>IFERROR(INDEX(directors[Last],MAX(1,FLOOR((budgetMilestone2[row]-1)/(numCategories+3)+1,1))),1)</f>
        <v>0</v>
      </c>
    </row>
    <row r="78" spans="1:18" ht="15" customHeight="1" x14ac:dyDescent="0.25">
      <c r="A78" s="105" t="str">
        <f ca="1"/>
        <v>Consumables</v>
      </c>
      <c r="B78" s="105">
        <f ca="1"/>
        <v>0</v>
      </c>
      <c r="C78" s="105">
        <f ca="1"/>
        <v>0</v>
      </c>
      <c r="D78" s="105">
        <f ca="1"/>
        <v>0</v>
      </c>
      <c r="E78" s="105">
        <f ca="1"/>
        <v>0</v>
      </c>
      <c r="F78" s="105">
        <f ca="1"/>
        <v>0</v>
      </c>
      <c r="G78" s="105">
        <f ca="1"/>
        <v>0</v>
      </c>
      <c r="H78" s="60"/>
      <c r="I78"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Consumables</v>
      </c>
      <c r="J78" s="60">
        <f>budgetMilestone1[[#This Row],[Milestone 1]]</f>
        <v>0</v>
      </c>
      <c r="K78" s="60">
        <f>SUMIFS(ARF[Amount in Euro], ARF[Co Director],budgetMilestone2[director], ARF[Category], budgetMilestone2[Category], ARF[Date], "&gt;" &amp; cleanDateMilestone1,ARF[Date], "&lt;=" &amp; cleanDateMilestone2)</f>
        <v>0</v>
      </c>
      <c r="L78" s="85">
        <f ca="1">'Milestone 2'!$D78</f>
        <v>0</v>
      </c>
      <c r="M78" s="85">
        <f ca="1">'Milestone 2'!$E78</f>
        <v>0</v>
      </c>
      <c r="N78" s="85">
        <f ca="1">'Milestone 2'!$F78</f>
        <v>0</v>
      </c>
      <c r="O78" s="60">
        <f ca="1">SUM(budgetMilestone2[[#This Row],[Milestone 1]:[Final]])</f>
        <v>0</v>
      </c>
      <c r="P78" s="60">
        <f>ROW()-ROW(budgetMilestone2[#Headers])</f>
        <v>61</v>
      </c>
      <c r="Q78" s="60">
        <f>IF(budgetMilestone2[row] &lt;= numCategories +3, budgetMilestone2[row]-1, MOD(budgetMilestone2[row]-1,numCategories+3) + IF(MOD(budgetMilestone2[row]-2,numCategories+2)&gt;numCategories+1, 1,0))</f>
        <v>5</v>
      </c>
      <c r="R78" s="60">
        <f>IFERROR(INDEX(directors[Last],MAX(1,FLOOR((budgetMilestone2[row]-1)/(numCategories+3)+1,1))),1)</f>
        <v>0</v>
      </c>
    </row>
    <row r="79" spans="1:18" ht="15" customHeight="1" x14ac:dyDescent="0.25">
      <c r="A79" s="105" t="str">
        <f ca="1"/>
        <v>Other</v>
      </c>
      <c r="B79" s="105">
        <f ca="1"/>
        <v>0</v>
      </c>
      <c r="C79" s="105">
        <f ca="1"/>
        <v>0</v>
      </c>
      <c r="D79" s="105">
        <f ca="1"/>
        <v>0</v>
      </c>
      <c r="E79" s="105">
        <f ca="1"/>
        <v>0</v>
      </c>
      <c r="F79" s="105">
        <f ca="1"/>
        <v>0</v>
      </c>
      <c r="G79" s="105">
        <f ca="1"/>
        <v>0</v>
      </c>
      <c r="H79" s="60"/>
      <c r="I79"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Other</v>
      </c>
      <c r="J79" s="60">
        <f>budgetMilestone1[[#This Row],[Milestone 1]]</f>
        <v>0</v>
      </c>
      <c r="K79" s="60">
        <f>SUMIFS(ARF[Amount in Euro], ARF[Co Director],budgetMilestone2[director], ARF[Category], budgetMilestone2[Category], ARF[Date], "&gt;" &amp; cleanDateMilestone1,ARF[Date], "&lt;=" &amp; cleanDateMilestone2)</f>
        <v>0</v>
      </c>
      <c r="L79" s="85">
        <f ca="1">'Milestone 2'!$D79</f>
        <v>0</v>
      </c>
      <c r="M79" s="85">
        <f ca="1">'Milestone 2'!$E79</f>
        <v>0</v>
      </c>
      <c r="N79" s="85">
        <f ca="1">'Milestone 2'!$F79</f>
        <v>0</v>
      </c>
      <c r="O79" s="60">
        <f ca="1">SUM(budgetMilestone2[[#This Row],[Milestone 1]:[Final]])</f>
        <v>0</v>
      </c>
      <c r="P79" s="60">
        <f>ROW()-ROW(budgetMilestone2[#Headers])</f>
        <v>62</v>
      </c>
      <c r="Q79" s="60">
        <f>IF(budgetMilestone2[row] &lt;= numCategories +3, budgetMilestone2[row]-1, MOD(budgetMilestone2[row]-1,numCategories+3) + IF(MOD(budgetMilestone2[row]-2,numCategories+2)&gt;numCategories+1, 1,0))</f>
        <v>6</v>
      </c>
      <c r="R79" s="60">
        <f>IFERROR(INDEX(directors[Last],MAX(1,FLOOR((budgetMilestone2[row]-1)/(numCategories+3)+1,1))),1)</f>
        <v>0</v>
      </c>
    </row>
    <row r="80" spans="1:18" ht="15" customHeight="1" x14ac:dyDescent="0.25">
      <c r="A80" s="105" t="str">
        <f ca="1"/>
        <v>Stipends</v>
      </c>
      <c r="B80" s="105">
        <f ca="1"/>
        <v>0</v>
      </c>
      <c r="C80" s="105">
        <f ca="1"/>
        <v>0</v>
      </c>
      <c r="D80" s="105">
        <f ca="1"/>
        <v>0</v>
      </c>
      <c r="E80" s="105">
        <f ca="1"/>
        <v>0</v>
      </c>
      <c r="F80" s="105">
        <f ca="1"/>
        <v>0</v>
      </c>
      <c r="G80" s="105">
        <f ca="1"/>
        <v>0</v>
      </c>
      <c r="H80" s="60"/>
      <c r="I80"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Stipends</v>
      </c>
      <c r="J80" s="60">
        <f>budgetMilestone1[[#This Row],[Milestone 1]]</f>
        <v>0</v>
      </c>
      <c r="K80" s="60">
        <f>SUMIFS(ARF[Amount in Euro], ARF[Co Director],budgetMilestone2[director], ARF[Category], budgetMilestone2[Category], ARF[Date], "&gt;" &amp; cleanDateMilestone1,ARF[Date], "&lt;=" &amp; cleanDateMilestone2)</f>
        <v>0</v>
      </c>
      <c r="L80" s="85">
        <f ca="1">'Milestone 2'!$D80</f>
        <v>0</v>
      </c>
      <c r="M80" s="85">
        <f ca="1">'Milestone 2'!$E80</f>
        <v>0</v>
      </c>
      <c r="N80" s="85">
        <f ca="1">'Milestone 2'!$F80</f>
        <v>0</v>
      </c>
      <c r="O80" s="60">
        <f ca="1">SUM(budgetMilestone2[[#This Row],[Milestone 1]:[Final]])</f>
        <v>0</v>
      </c>
      <c r="P80" s="60">
        <f>ROW()-ROW(budgetMilestone2[#Headers])</f>
        <v>63</v>
      </c>
      <c r="Q80" s="60">
        <f>IF(budgetMilestone2[row] &lt;= numCategories +3, budgetMilestone2[row]-1, MOD(budgetMilestone2[row]-1,numCategories+3) + IF(MOD(budgetMilestone2[row]-2,numCategories+2)&gt;numCategories+1, 1,0))</f>
        <v>7</v>
      </c>
      <c r="R80" s="60">
        <f>IFERROR(INDEX(directors[Last],MAX(1,FLOOR((budgetMilestone2[row]-1)/(numCategories+3)+1,1))),1)</f>
        <v>0</v>
      </c>
    </row>
    <row r="81" spans="1:18" ht="15" customHeight="1" x14ac:dyDescent="0.25">
      <c r="A81" s="105" t="str">
        <f ca="1"/>
        <v>Co-financing of personnel</v>
      </c>
      <c r="B81" s="105">
        <f ca="1"/>
        <v>0</v>
      </c>
      <c r="C81" s="105">
        <f ca="1"/>
        <v>0</v>
      </c>
      <c r="D81" s="105">
        <f ca="1"/>
        <v>0</v>
      </c>
      <c r="E81" s="105">
        <f ca="1"/>
        <v>0</v>
      </c>
      <c r="F81" s="105">
        <f ca="1"/>
        <v>0</v>
      </c>
      <c r="G81" s="105">
        <f ca="1"/>
        <v>0</v>
      </c>
      <c r="H81" s="60"/>
      <c r="I81"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Co-financing of personnel</v>
      </c>
      <c r="J81" s="60">
        <f>budgetMilestone1[[#This Row],[Milestone 1]]</f>
        <v>0</v>
      </c>
      <c r="K81" s="60">
        <f>SUMIFS(ARF[Amount in Euro], ARF[Co Director],budgetMilestone2[director], ARF[Category], budgetMilestone2[Category], ARF[Date], "&gt;" &amp; cleanDateMilestone1,ARF[Date], "&lt;=" &amp; cleanDateMilestone2)</f>
        <v>0</v>
      </c>
      <c r="L81" s="85">
        <f ca="1">'Milestone 2'!$D81</f>
        <v>0</v>
      </c>
      <c r="M81" s="85">
        <f ca="1">'Milestone 2'!$E81</f>
        <v>0</v>
      </c>
      <c r="N81" s="85">
        <f ca="1">'Milestone 2'!$F81</f>
        <v>0</v>
      </c>
      <c r="O81" s="60">
        <f ca="1">SUM(budgetMilestone2[[#This Row],[Milestone 1]:[Final]])</f>
        <v>0</v>
      </c>
      <c r="P81" s="60">
        <f>ROW()-ROW(budgetMilestone2[#Headers])</f>
        <v>64</v>
      </c>
      <c r="Q81" s="60">
        <f>IF(budgetMilestone2[row] &lt;= numCategories +3, budgetMilestone2[row]-1, MOD(budgetMilestone2[row]-1,numCategories+3) + IF(MOD(budgetMilestone2[row]-2,numCategories+2)&gt;numCategories+1, 1,0))</f>
        <v>8</v>
      </c>
      <c r="R81" s="60">
        <f>IFERROR(INDEX(directors[Last],MAX(1,FLOOR((budgetMilestone2[row]-1)/(numCategories+3)+1,1))),1)</f>
        <v>0</v>
      </c>
    </row>
    <row r="82" spans="1:18" ht="15" customHeight="1" x14ac:dyDescent="0.25">
      <c r="A82" s="105" t="str">
        <f ca="1"/>
        <v>Subtotal 0</v>
      </c>
      <c r="B82" s="105">
        <f ca="1"/>
        <v>0</v>
      </c>
      <c r="C82" s="105">
        <f ca="1"/>
        <v>0</v>
      </c>
      <c r="D82" s="105">
        <f ca="1"/>
        <v>0</v>
      </c>
      <c r="E82" s="105">
        <f ca="1"/>
        <v>0</v>
      </c>
      <c r="F82" s="105">
        <f ca="1"/>
        <v>0</v>
      </c>
      <c r="G82" s="105">
        <f ca="1"/>
        <v>0</v>
      </c>
      <c r="H82" s="60"/>
      <c r="I82"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Subtotal 0</v>
      </c>
      <c r="J82" s="60">
        <f>budgetMilestone1[[#This Row],[Milestone 1]]</f>
        <v>0</v>
      </c>
      <c r="K82" s="60">
        <f t="shared" si="3"/>
        <v>0</v>
      </c>
      <c r="L82" s="60">
        <f t="shared" ca="1" si="3"/>
        <v>0</v>
      </c>
      <c r="M82" s="60">
        <f t="shared" ca="1" si="3"/>
        <v>0</v>
      </c>
      <c r="N82" s="60">
        <f t="shared" ca="1" si="3"/>
        <v>0</v>
      </c>
      <c r="O82" s="60">
        <f t="shared" ca="1" si="3"/>
        <v>0</v>
      </c>
      <c r="P82" s="60">
        <f>ROW()-ROW(budgetMilestone2[#Headers])</f>
        <v>65</v>
      </c>
      <c r="Q82" s="60">
        <f>IF(budgetMilestone2[row] &lt;= numCategories +3, budgetMilestone2[row]-1, MOD(budgetMilestone2[row]-1,numCategories+3) + IF(MOD(budgetMilestone2[row]-2,numCategories+2)&gt;numCategories+1, 1,0))</f>
        <v>9</v>
      </c>
      <c r="R82" s="60">
        <f>IFERROR(INDEX(directors[Last],MAX(1,FLOOR((budgetMilestone2[row]-1)/(numCategories+3)+1,1))),1)</f>
        <v>0</v>
      </c>
    </row>
    <row r="83" spans="1:18" ht="15" customHeight="1" x14ac:dyDescent="0.25">
      <c r="A83" s="105" t="str">
        <f ca="1"/>
        <v/>
      </c>
      <c r="B83" s="105">
        <f ca="1"/>
        <v>0</v>
      </c>
      <c r="C83" s="105">
        <f ca="1"/>
        <v>0</v>
      </c>
      <c r="D83" s="105">
        <f ca="1"/>
        <v>0</v>
      </c>
      <c r="E83" s="105">
        <f ca="1"/>
        <v>0</v>
      </c>
      <c r="F83" s="105">
        <f ca="1"/>
        <v>0</v>
      </c>
      <c r="G83" s="105">
        <f ca="1"/>
        <v>0</v>
      </c>
      <c r="H83" s="60"/>
      <c r="I83"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c>
      <c r="J83" s="60">
        <f>budgetMilestone1[[#This Row],[Milestone 1]]</f>
        <v>0</v>
      </c>
      <c r="K83" s="60"/>
      <c r="L83" s="60"/>
      <c r="M83" s="60"/>
      <c r="N83" s="60"/>
      <c r="O83" s="60">
        <f>SUM(budgetMilestone2[[#This Row],[Milestone 1]:[Final]])</f>
        <v>0</v>
      </c>
      <c r="P83" s="60">
        <f>ROW()-ROW(budgetMilestone2[#Headers])</f>
        <v>66</v>
      </c>
      <c r="Q83" s="60">
        <f>IF(budgetMilestone2[row] &lt;= numCategories +3, budgetMilestone2[row]-1, MOD(budgetMilestone2[row]-1,numCategories+3) + IF(MOD(budgetMilestone2[row]-2,numCategories+2)&gt;numCategories+1, 1,0))</f>
        <v>10</v>
      </c>
      <c r="R83" s="60">
        <f>IFERROR(INDEX(directors[Last],MAX(1,FLOOR((budgetMilestone2[row]-1)/(numCategories+3)+1,1))),1)</f>
        <v>0</v>
      </c>
    </row>
    <row r="84" spans="1:18" ht="15" customHeight="1" x14ac:dyDescent="0.25">
      <c r="A84" s="105" t="str">
        <f ca="1"/>
        <v xml:space="preserve">0 / </v>
      </c>
      <c r="B84" s="105">
        <f ca="1"/>
        <v>0</v>
      </c>
      <c r="C84" s="105">
        <f ca="1"/>
        <v>0</v>
      </c>
      <c r="D84" s="105">
        <f ca="1"/>
        <v>0</v>
      </c>
      <c r="E84" s="105">
        <f ca="1"/>
        <v>0</v>
      </c>
      <c r="F84" s="105">
        <f ca="1"/>
        <v>0</v>
      </c>
      <c r="G84" s="105">
        <f ca="1"/>
        <v>0</v>
      </c>
      <c r="H84" s="60"/>
      <c r="I84"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xml:space="preserve">0 / </v>
      </c>
      <c r="J84" s="60">
        <f>budgetMilestone1[[#This Row],[Milestone 1]]</f>
        <v>0</v>
      </c>
      <c r="K84" s="60"/>
      <c r="L84" s="60"/>
      <c r="M84" s="60"/>
      <c r="N84" s="60"/>
      <c r="O84" s="60">
        <f>SUM(budgetMilestone2[[#This Row],[Milestone 1]:[Final]])</f>
        <v>0</v>
      </c>
      <c r="P84" s="60">
        <f>ROW()-ROW(budgetMilestone2[#Headers])</f>
        <v>67</v>
      </c>
      <c r="Q84" s="60">
        <f>IF(budgetMilestone2[row] &lt;= numCategories +3, budgetMilestone2[row]-1, MOD(budgetMilestone2[row]-1,numCategories+3) + IF(MOD(budgetMilestone2[row]-2,numCategories+2)&gt;numCategories+1, 1,0))</f>
        <v>0</v>
      </c>
      <c r="R84" s="60">
        <f>IFERROR(INDEX(directors[Last],MAX(1,FLOOR((budgetMilestone2[row]-1)/(numCategories+3)+1,1))),1)</f>
        <v>0</v>
      </c>
    </row>
    <row r="85" spans="1:18" ht="15" customHeight="1" x14ac:dyDescent="0.25">
      <c r="A85" s="105" t="str">
        <f ca="1"/>
        <v>Equipment</v>
      </c>
      <c r="B85" s="105">
        <f ca="1"/>
        <v>0</v>
      </c>
      <c r="C85" s="105">
        <f ca="1"/>
        <v>0</v>
      </c>
      <c r="D85" s="105">
        <f ca="1"/>
        <v>0</v>
      </c>
      <c r="E85" s="105">
        <f ca="1"/>
        <v>0</v>
      </c>
      <c r="F85" s="105">
        <f ca="1"/>
        <v>0</v>
      </c>
      <c r="G85" s="105">
        <f ca="1"/>
        <v>0</v>
      </c>
      <c r="H85" s="60"/>
      <c r="I85"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Equipment</v>
      </c>
      <c r="J85" s="60">
        <f>budgetMilestone1[[#This Row],[Milestone 1]]</f>
        <v>0</v>
      </c>
      <c r="K85" s="60">
        <f>SUMIFS(ARF[Amount in Euro], ARF[Co Director],budgetMilestone2[director], ARF[Category], budgetMilestone2[Category], ARF[Date], "&gt;" &amp; cleanDateMilestone1,ARF[Date], "&lt;=" &amp; cleanDateMilestone2)</f>
        <v>0</v>
      </c>
      <c r="L85" s="85">
        <f ca="1">'Milestone 2'!$D85</f>
        <v>0</v>
      </c>
      <c r="M85" s="85">
        <f ca="1">'Milestone 2'!$E85</f>
        <v>0</v>
      </c>
      <c r="N85" s="85">
        <f ca="1">'Milestone 2'!$F85</f>
        <v>0</v>
      </c>
      <c r="O85" s="60">
        <f ca="1">SUM(budgetMilestone2[[#This Row],[Milestone 1]:[Final]])</f>
        <v>0</v>
      </c>
      <c r="P85" s="60">
        <f>ROW()-ROW(budgetMilestone2[#Headers])</f>
        <v>68</v>
      </c>
      <c r="Q85" s="60">
        <f>IF(budgetMilestone2[row] &lt;= numCategories +3, budgetMilestone2[row]-1, MOD(budgetMilestone2[row]-1,numCategories+3) + IF(MOD(budgetMilestone2[row]-2,numCategories+2)&gt;numCategories+1, 1,0))</f>
        <v>1</v>
      </c>
      <c r="R85" s="60">
        <f>IFERROR(INDEX(directors[Last],MAX(1,FLOOR((budgetMilestone2[row]-1)/(numCategories+3)+1,1))),1)</f>
        <v>0</v>
      </c>
    </row>
    <row r="86" spans="1:18" ht="15" customHeight="1" x14ac:dyDescent="0.25">
      <c r="A86" s="105" t="str">
        <f ca="1"/>
        <v>Training</v>
      </c>
      <c r="B86" s="105">
        <f ca="1"/>
        <v>0</v>
      </c>
      <c r="C86" s="105">
        <f ca="1"/>
        <v>0</v>
      </c>
      <c r="D86" s="105">
        <f ca="1"/>
        <v>0</v>
      </c>
      <c r="E86" s="105">
        <f ca="1"/>
        <v>0</v>
      </c>
      <c r="F86" s="105">
        <f ca="1"/>
        <v>0</v>
      </c>
      <c r="G86" s="105">
        <f ca="1"/>
        <v>0</v>
      </c>
      <c r="H86" s="60"/>
      <c r="I86"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Training</v>
      </c>
      <c r="J86" s="60">
        <f>budgetMilestone1[[#This Row],[Milestone 1]]</f>
        <v>0</v>
      </c>
      <c r="K86" s="60">
        <f>SUMIFS(ARF[Amount in Euro], ARF[Co Director],budgetMilestone2[director], ARF[Category], budgetMilestone2[Category], ARF[Date], "&gt;" &amp; cleanDateMilestone1,ARF[Date], "&lt;=" &amp; cleanDateMilestone2)</f>
        <v>0</v>
      </c>
      <c r="L86" s="85">
        <f ca="1">'Milestone 2'!$D86</f>
        <v>0</v>
      </c>
      <c r="M86" s="85">
        <f ca="1">'Milestone 2'!$E86</f>
        <v>0</v>
      </c>
      <c r="N86" s="85">
        <f ca="1">'Milestone 2'!$F86</f>
        <v>0</v>
      </c>
      <c r="O86" s="60">
        <f ca="1">SUM(budgetMilestone2[[#This Row],[Milestone 1]:[Final]])</f>
        <v>0</v>
      </c>
      <c r="P86" s="60">
        <f>ROW()-ROW(budgetMilestone2[#Headers])</f>
        <v>69</v>
      </c>
      <c r="Q86" s="60">
        <f>IF(budgetMilestone2[row] &lt;= numCategories +3, budgetMilestone2[row]-1, MOD(budgetMilestone2[row]-1,numCategories+3) + IF(MOD(budgetMilestone2[row]-2,numCategories+2)&gt;numCategories+1, 1,0))</f>
        <v>2</v>
      </c>
      <c r="R86" s="60">
        <f>IFERROR(INDEX(directors[Last],MAX(1,FLOOR((budgetMilestone2[row]-1)/(numCategories+3)+1,1))),1)</f>
        <v>0</v>
      </c>
    </row>
    <row r="87" spans="1:18" ht="15" customHeight="1" x14ac:dyDescent="0.25">
      <c r="A87" s="105" t="str">
        <f ca="1"/>
        <v>Communication &amp; Publication</v>
      </c>
      <c r="B87" s="105">
        <f ca="1"/>
        <v>0</v>
      </c>
      <c r="C87" s="105">
        <f ca="1"/>
        <v>0</v>
      </c>
      <c r="D87" s="105">
        <f ca="1"/>
        <v>0</v>
      </c>
      <c r="E87" s="105">
        <f ca="1"/>
        <v>0</v>
      </c>
      <c r="F87" s="105">
        <f ca="1"/>
        <v>0</v>
      </c>
      <c r="G87" s="105">
        <f ca="1"/>
        <v>0</v>
      </c>
      <c r="H87" s="60"/>
      <c r="I87"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Communication &amp; Publication</v>
      </c>
      <c r="J87" s="60">
        <f>budgetMilestone1[[#This Row],[Milestone 1]]</f>
        <v>0</v>
      </c>
      <c r="K87" s="60">
        <f>SUMIFS(ARF[Amount in Euro], ARF[Co Director],budgetMilestone2[director], ARF[Category], budgetMilestone2[Category], ARF[Date], "&gt;" &amp; cleanDateMilestone1,ARF[Date], "&lt;=" &amp; cleanDateMilestone2)</f>
        <v>0</v>
      </c>
      <c r="L87" s="85">
        <f ca="1">'Milestone 2'!$D87</f>
        <v>0</v>
      </c>
      <c r="M87" s="85">
        <f ca="1">'Milestone 2'!$E87</f>
        <v>0</v>
      </c>
      <c r="N87" s="85">
        <f ca="1">'Milestone 2'!$F87</f>
        <v>0</v>
      </c>
      <c r="O87" s="60">
        <f ca="1">SUM(budgetMilestone2[[#This Row],[Milestone 1]:[Final]])</f>
        <v>0</v>
      </c>
      <c r="P87" s="60">
        <f>ROW()-ROW(budgetMilestone2[#Headers])</f>
        <v>70</v>
      </c>
      <c r="Q87" s="60">
        <f>IF(budgetMilestone2[row] &lt;= numCategories +3, budgetMilestone2[row]-1, MOD(budgetMilestone2[row]-1,numCategories+3) + IF(MOD(budgetMilestone2[row]-2,numCategories+2)&gt;numCategories+1, 1,0))</f>
        <v>3</v>
      </c>
      <c r="R87" s="60">
        <f>IFERROR(INDEX(directors[Last],MAX(1,FLOOR((budgetMilestone2[row]-1)/(numCategories+3)+1,1))),1)</f>
        <v>0</v>
      </c>
    </row>
    <row r="88" spans="1:18" ht="15" customHeight="1" x14ac:dyDescent="0.25">
      <c r="A88" s="105" t="str">
        <f ca="1"/>
        <v>Travel</v>
      </c>
      <c r="B88" s="105">
        <f ca="1"/>
        <v>0</v>
      </c>
      <c r="C88" s="105">
        <f ca="1"/>
        <v>0</v>
      </c>
      <c r="D88" s="105">
        <f ca="1"/>
        <v>0</v>
      </c>
      <c r="E88" s="105">
        <f ca="1"/>
        <v>0</v>
      </c>
      <c r="F88" s="105">
        <f ca="1"/>
        <v>0</v>
      </c>
      <c r="G88" s="105">
        <f ca="1"/>
        <v>0</v>
      </c>
      <c r="H88" s="60"/>
      <c r="I88"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Travel</v>
      </c>
      <c r="J88" s="60">
        <f>budgetMilestone1[[#This Row],[Milestone 1]]</f>
        <v>0</v>
      </c>
      <c r="K88" s="60">
        <f>SUMIFS(ARF[Amount in Euro], ARF[Co Director],budgetMilestone2[director], ARF[Category], budgetMilestone2[Category], ARF[Date], "&gt;" &amp; cleanDateMilestone1,ARF[Date], "&lt;=" &amp; cleanDateMilestone2)</f>
        <v>0</v>
      </c>
      <c r="L88" s="85">
        <f ca="1">'Milestone 2'!$D88</f>
        <v>0</v>
      </c>
      <c r="M88" s="85">
        <f ca="1">'Milestone 2'!$E88</f>
        <v>0</v>
      </c>
      <c r="N88" s="85">
        <f ca="1">'Milestone 2'!$F88</f>
        <v>0</v>
      </c>
      <c r="O88" s="60">
        <f ca="1">SUM(budgetMilestone2[[#This Row],[Milestone 1]:[Final]])</f>
        <v>0</v>
      </c>
      <c r="P88" s="60">
        <f>ROW()-ROW(budgetMilestone2[#Headers])</f>
        <v>71</v>
      </c>
      <c r="Q88" s="60">
        <f>IF(budgetMilestone2[row] &lt;= numCategories +3, budgetMilestone2[row]-1, MOD(budgetMilestone2[row]-1,numCategories+3) + IF(MOD(budgetMilestone2[row]-2,numCategories+2)&gt;numCategories+1, 1,0))</f>
        <v>4</v>
      </c>
      <c r="R88" s="60">
        <f>IFERROR(INDEX(directors[Last],MAX(1,FLOOR((budgetMilestone2[row]-1)/(numCategories+3)+1,1))),1)</f>
        <v>0</v>
      </c>
    </row>
    <row r="89" spans="1:18" ht="15" customHeight="1" x14ac:dyDescent="0.25">
      <c r="A89" s="105" t="str">
        <f ca="1"/>
        <v>Consumables</v>
      </c>
      <c r="B89" s="105">
        <f ca="1"/>
        <v>0</v>
      </c>
      <c r="C89" s="105">
        <f ca="1"/>
        <v>0</v>
      </c>
      <c r="D89" s="105">
        <f ca="1"/>
        <v>0</v>
      </c>
      <c r="E89" s="105">
        <f ca="1"/>
        <v>0</v>
      </c>
      <c r="F89" s="105">
        <f ca="1"/>
        <v>0</v>
      </c>
      <c r="G89" s="105">
        <f ca="1"/>
        <v>0</v>
      </c>
      <c r="H89" s="60"/>
      <c r="I89"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Consumables</v>
      </c>
      <c r="J89" s="60">
        <f>budgetMilestone1[[#This Row],[Milestone 1]]</f>
        <v>0</v>
      </c>
      <c r="K89" s="60">
        <f>SUMIFS(ARF[Amount in Euro], ARF[Co Director],budgetMilestone2[director], ARF[Category], budgetMilestone2[Category], ARF[Date], "&gt;" &amp; cleanDateMilestone1,ARF[Date], "&lt;=" &amp; cleanDateMilestone2)</f>
        <v>0</v>
      </c>
      <c r="L89" s="85">
        <f ca="1">'Milestone 2'!$D89</f>
        <v>0</v>
      </c>
      <c r="M89" s="85">
        <f ca="1">'Milestone 2'!$E89</f>
        <v>0</v>
      </c>
      <c r="N89" s="85">
        <f ca="1">'Milestone 2'!$F89</f>
        <v>0</v>
      </c>
      <c r="O89" s="60">
        <f ca="1">SUM(budgetMilestone2[[#This Row],[Milestone 1]:[Final]])</f>
        <v>0</v>
      </c>
      <c r="P89" s="60">
        <f>ROW()-ROW(budgetMilestone2[#Headers])</f>
        <v>72</v>
      </c>
      <c r="Q89" s="60">
        <f>IF(budgetMilestone2[row] &lt;= numCategories +3, budgetMilestone2[row]-1, MOD(budgetMilestone2[row]-1,numCategories+3) + IF(MOD(budgetMilestone2[row]-2,numCategories+2)&gt;numCategories+1, 1,0))</f>
        <v>5</v>
      </c>
      <c r="R89" s="60">
        <f>IFERROR(INDEX(directors[Last],MAX(1,FLOOR((budgetMilestone2[row]-1)/(numCategories+3)+1,1))),1)</f>
        <v>0</v>
      </c>
    </row>
    <row r="90" spans="1:18" ht="15" customHeight="1" x14ac:dyDescent="0.25">
      <c r="A90" s="105" t="str">
        <f ca="1"/>
        <v>Other</v>
      </c>
      <c r="B90" s="105">
        <f ca="1"/>
        <v>0</v>
      </c>
      <c r="C90" s="105">
        <f ca="1"/>
        <v>0</v>
      </c>
      <c r="D90" s="105">
        <f ca="1"/>
        <v>0</v>
      </c>
      <c r="E90" s="105">
        <f ca="1"/>
        <v>0</v>
      </c>
      <c r="F90" s="105">
        <f ca="1"/>
        <v>0</v>
      </c>
      <c r="G90" s="105">
        <f ca="1"/>
        <v>0</v>
      </c>
      <c r="H90" s="60"/>
      <c r="I90"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Other</v>
      </c>
      <c r="J90" s="60">
        <f>budgetMilestone1[[#This Row],[Milestone 1]]</f>
        <v>0</v>
      </c>
      <c r="K90" s="60">
        <f>SUMIFS(ARF[Amount in Euro], ARF[Co Director],budgetMilestone2[director], ARF[Category], budgetMilestone2[Category], ARF[Date], "&gt;" &amp; cleanDateMilestone1,ARF[Date], "&lt;=" &amp; cleanDateMilestone2)</f>
        <v>0</v>
      </c>
      <c r="L90" s="85">
        <f ca="1">'Milestone 2'!$D90</f>
        <v>0</v>
      </c>
      <c r="M90" s="85">
        <f ca="1">'Milestone 2'!$E90</f>
        <v>0</v>
      </c>
      <c r="N90" s="85">
        <f ca="1">'Milestone 2'!$F90</f>
        <v>0</v>
      </c>
      <c r="O90" s="60">
        <f ca="1">SUM(budgetMilestone2[[#This Row],[Milestone 1]:[Final]])</f>
        <v>0</v>
      </c>
      <c r="P90" s="60">
        <f>ROW()-ROW(budgetMilestone2[#Headers])</f>
        <v>73</v>
      </c>
      <c r="Q90" s="60">
        <f>IF(budgetMilestone2[row] &lt;= numCategories +3, budgetMilestone2[row]-1, MOD(budgetMilestone2[row]-1,numCategories+3) + IF(MOD(budgetMilestone2[row]-2,numCategories+2)&gt;numCategories+1, 1,0))</f>
        <v>6</v>
      </c>
      <c r="R90" s="60">
        <f>IFERROR(INDEX(directors[Last],MAX(1,FLOOR((budgetMilestone2[row]-1)/(numCategories+3)+1,1))),1)</f>
        <v>0</v>
      </c>
    </row>
    <row r="91" spans="1:18" ht="15" customHeight="1" x14ac:dyDescent="0.25">
      <c r="A91" s="105" t="str">
        <f ca="1"/>
        <v>Stipends</v>
      </c>
      <c r="B91" s="105">
        <f ca="1"/>
        <v>0</v>
      </c>
      <c r="C91" s="105">
        <f ca="1"/>
        <v>0</v>
      </c>
      <c r="D91" s="105">
        <f ca="1"/>
        <v>0</v>
      </c>
      <c r="E91" s="105">
        <f ca="1"/>
        <v>0</v>
      </c>
      <c r="F91" s="105">
        <f ca="1"/>
        <v>0</v>
      </c>
      <c r="G91" s="105">
        <f ca="1"/>
        <v>0</v>
      </c>
      <c r="H91" s="60"/>
      <c r="I91"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Stipends</v>
      </c>
      <c r="J91" s="60">
        <f>budgetMilestone1[[#This Row],[Milestone 1]]</f>
        <v>0</v>
      </c>
      <c r="K91" s="60">
        <f>SUMIFS(ARF[Amount in Euro], ARF[Co Director],budgetMilestone2[director], ARF[Category], budgetMilestone2[Category], ARF[Date], "&gt;" &amp; cleanDateMilestone1,ARF[Date], "&lt;=" &amp; cleanDateMilestone2)</f>
        <v>0</v>
      </c>
      <c r="L91" s="85">
        <f ca="1">'Milestone 2'!$D91</f>
        <v>0</v>
      </c>
      <c r="M91" s="85">
        <f ca="1">'Milestone 2'!$E91</f>
        <v>0</v>
      </c>
      <c r="N91" s="85">
        <f ca="1">'Milestone 2'!$F91</f>
        <v>0</v>
      </c>
      <c r="O91" s="60">
        <f ca="1">SUM(budgetMilestone2[[#This Row],[Milestone 1]:[Final]])</f>
        <v>0</v>
      </c>
      <c r="P91" s="60">
        <f>ROW()-ROW(budgetMilestone2[#Headers])</f>
        <v>74</v>
      </c>
      <c r="Q91" s="60">
        <f>IF(budgetMilestone2[row] &lt;= numCategories +3, budgetMilestone2[row]-1, MOD(budgetMilestone2[row]-1,numCategories+3) + IF(MOD(budgetMilestone2[row]-2,numCategories+2)&gt;numCategories+1, 1,0))</f>
        <v>7</v>
      </c>
      <c r="R91" s="60">
        <f>IFERROR(INDEX(directors[Last],MAX(1,FLOOR((budgetMilestone2[row]-1)/(numCategories+3)+1,1))),1)</f>
        <v>0</v>
      </c>
    </row>
    <row r="92" spans="1:18" ht="15" customHeight="1" x14ac:dyDescent="0.25">
      <c r="A92" s="105" t="str">
        <f ca="1"/>
        <v>Co-financing of personnel</v>
      </c>
      <c r="B92" s="105">
        <f ca="1"/>
        <v>0</v>
      </c>
      <c r="C92" s="105">
        <f ca="1"/>
        <v>0</v>
      </c>
      <c r="D92" s="105">
        <f ca="1"/>
        <v>0</v>
      </c>
      <c r="E92" s="105">
        <f ca="1"/>
        <v>0</v>
      </c>
      <c r="F92" s="105">
        <f ca="1"/>
        <v>0</v>
      </c>
      <c r="G92" s="105">
        <f ca="1"/>
        <v>0</v>
      </c>
      <c r="H92" s="60"/>
      <c r="I92"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Co-financing of personnel</v>
      </c>
      <c r="J92" s="60">
        <f>budgetMilestone1[[#This Row],[Milestone 1]]</f>
        <v>0</v>
      </c>
      <c r="K92" s="60">
        <f>SUMIFS(ARF[Amount in Euro], ARF[Co Director],budgetMilestone2[director], ARF[Category], budgetMilestone2[Category], ARF[Date], "&gt;" &amp; cleanDateMilestone1,ARF[Date], "&lt;=" &amp; cleanDateMilestone2)</f>
        <v>0</v>
      </c>
      <c r="L92" s="85">
        <f ca="1">'Milestone 2'!$D92</f>
        <v>0</v>
      </c>
      <c r="M92" s="85">
        <f ca="1">'Milestone 2'!$E92</f>
        <v>0</v>
      </c>
      <c r="N92" s="85">
        <f ca="1">'Milestone 2'!$F92</f>
        <v>0</v>
      </c>
      <c r="O92" s="60">
        <f ca="1">SUM(budgetMilestone2[[#This Row],[Milestone 1]:[Final]])</f>
        <v>0</v>
      </c>
      <c r="P92" s="60">
        <f>ROW()-ROW(budgetMilestone2[#Headers])</f>
        <v>75</v>
      </c>
      <c r="Q92" s="60">
        <f>IF(budgetMilestone2[row] &lt;= numCategories +3, budgetMilestone2[row]-1, MOD(budgetMilestone2[row]-1,numCategories+3) + IF(MOD(budgetMilestone2[row]-2,numCategories+2)&gt;numCategories+1, 1,0))</f>
        <v>8</v>
      </c>
      <c r="R92" s="60">
        <f>IFERROR(INDEX(directors[Last],MAX(1,FLOOR((budgetMilestone2[row]-1)/(numCategories+3)+1,1))),1)</f>
        <v>0</v>
      </c>
    </row>
    <row r="93" spans="1:18" ht="15" customHeight="1" x14ac:dyDescent="0.25">
      <c r="A93" s="105" t="str">
        <f ca="1"/>
        <v>Subtotal 0</v>
      </c>
      <c r="B93" s="105">
        <f ca="1"/>
        <v>0</v>
      </c>
      <c r="C93" s="105">
        <f ca="1"/>
        <v>0</v>
      </c>
      <c r="D93" s="105">
        <f ca="1"/>
        <v>0</v>
      </c>
      <c r="E93" s="105">
        <f ca="1"/>
        <v>0</v>
      </c>
      <c r="F93" s="105">
        <f ca="1"/>
        <v>0</v>
      </c>
      <c r="G93" s="105">
        <f ca="1"/>
        <v>0</v>
      </c>
      <c r="H93" s="60"/>
      <c r="I93"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Subtotal 0</v>
      </c>
      <c r="J93" s="60">
        <f>budgetMilestone1[[#This Row],[Milestone 1]]</f>
        <v>0</v>
      </c>
      <c r="K93" s="60">
        <f t="shared" si="4"/>
        <v>0</v>
      </c>
      <c r="L93" s="60">
        <f t="shared" ca="1" si="4"/>
        <v>0</v>
      </c>
      <c r="M93" s="60">
        <f t="shared" ca="1" si="4"/>
        <v>0</v>
      </c>
      <c r="N93" s="60">
        <f t="shared" ca="1" si="4"/>
        <v>0</v>
      </c>
      <c r="O93" s="60">
        <f t="shared" ca="1" si="4"/>
        <v>0</v>
      </c>
      <c r="P93" s="60">
        <f>ROW()-ROW(budgetMilestone2[#Headers])</f>
        <v>76</v>
      </c>
      <c r="Q93" s="60">
        <f>IF(budgetMilestone2[row] &lt;= numCategories +3, budgetMilestone2[row]-1, MOD(budgetMilestone2[row]-1,numCategories+3) + IF(MOD(budgetMilestone2[row]-2,numCategories+2)&gt;numCategories+1, 1,0))</f>
        <v>9</v>
      </c>
      <c r="R93" s="60">
        <f>IFERROR(INDEX(directors[Last],MAX(1,FLOOR((budgetMilestone2[row]-1)/(numCategories+3)+1,1))),1)</f>
        <v>0</v>
      </c>
    </row>
    <row r="94" spans="1:18" ht="15" customHeight="1" x14ac:dyDescent="0.25">
      <c r="A94" s="105" t="str">
        <f ca="1"/>
        <v/>
      </c>
      <c r="B94" s="105">
        <f ca="1"/>
        <v>0</v>
      </c>
      <c r="C94" s="105">
        <f ca="1"/>
        <v>0</v>
      </c>
      <c r="D94" s="105">
        <f ca="1"/>
        <v>0</v>
      </c>
      <c r="E94" s="105">
        <f ca="1"/>
        <v>0</v>
      </c>
      <c r="F94" s="105">
        <f ca="1"/>
        <v>0</v>
      </c>
      <c r="G94" s="105">
        <f ca="1"/>
        <v>0</v>
      </c>
      <c r="H94" s="60"/>
      <c r="I94"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c>
      <c r="J94" s="60">
        <f>budgetMilestone1[[#This Row],[Milestone 1]]</f>
        <v>0</v>
      </c>
      <c r="K94" s="60"/>
      <c r="L94" s="60"/>
      <c r="M94" s="60"/>
      <c r="N94" s="60"/>
      <c r="O94" s="60"/>
      <c r="P94" s="60">
        <f>ROW()-ROW(budgetMilestone2[#Headers])</f>
        <v>77</v>
      </c>
      <c r="Q94" s="60">
        <f>IF(budgetMilestone2[row] &lt;= numCategories +3, budgetMilestone2[row]-1, MOD(budgetMilestone2[row]-1,numCategories+3) + IF(MOD(budgetMilestone2[row]-2,numCategories+2)&gt;numCategories+1, 1,0))</f>
        <v>10</v>
      </c>
      <c r="R94" s="60">
        <f>IFERROR(INDEX(directors[Last],MAX(1,FLOOR((budgetMilestone2[row]-1)/(numCategories+3)+1,1))),1)</f>
        <v>0</v>
      </c>
    </row>
    <row r="95" spans="1:18" ht="15" customHeight="1" x14ac:dyDescent="0.25">
      <c r="A95" s="105" t="str">
        <f ca="1"/>
        <v xml:space="preserve">0 / </v>
      </c>
      <c r="B95" s="105">
        <f ca="1"/>
        <v>0</v>
      </c>
      <c r="C95" s="105">
        <f ca="1"/>
        <v>0</v>
      </c>
      <c r="D95" s="105">
        <f ca="1"/>
        <v>0</v>
      </c>
      <c r="E95" s="105">
        <f ca="1"/>
        <v>0</v>
      </c>
      <c r="F95" s="105">
        <f ca="1"/>
        <v>0</v>
      </c>
      <c r="G95" s="105">
        <f ca="1"/>
        <v>0</v>
      </c>
      <c r="H95" s="60"/>
      <c r="I95"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xml:space="preserve">0 / </v>
      </c>
      <c r="J95" s="60">
        <f>budgetMilestone1[[#This Row],[Milestone 1]]</f>
        <v>0</v>
      </c>
      <c r="K95" s="60"/>
      <c r="L95" s="60"/>
      <c r="M95" s="60"/>
      <c r="N95" s="60"/>
      <c r="O95" s="60">
        <f>SUM(budgetMilestone2[[#This Row],[Milestone 1]:[Final]])</f>
        <v>0</v>
      </c>
      <c r="P95" s="60">
        <f>ROW()-ROW(budgetMilestone2[#Headers])</f>
        <v>78</v>
      </c>
      <c r="Q95" s="60">
        <f>IF(budgetMilestone2[row] &lt;= numCategories +3, budgetMilestone2[row]-1, MOD(budgetMilestone2[row]-1,numCategories+3) + IF(MOD(budgetMilestone2[row]-2,numCategories+2)&gt;numCategories+1, 1,0))</f>
        <v>0</v>
      </c>
      <c r="R95" s="60">
        <f>IFERROR(INDEX(directors[Last],MAX(1,FLOOR((budgetMilestone2[row]-1)/(numCategories+3)+1,1))),1)</f>
        <v>0</v>
      </c>
    </row>
    <row r="96" spans="1:18" ht="15" customHeight="1" x14ac:dyDescent="0.25">
      <c r="A96" s="105" t="str">
        <f ca="1"/>
        <v>Equipment</v>
      </c>
      <c r="B96" s="105">
        <f ca="1"/>
        <v>0</v>
      </c>
      <c r="C96" s="105">
        <f ca="1"/>
        <v>0</v>
      </c>
      <c r="D96" s="105">
        <f ca="1"/>
        <v>0</v>
      </c>
      <c r="E96" s="105">
        <f ca="1"/>
        <v>0</v>
      </c>
      <c r="F96" s="105">
        <f ca="1"/>
        <v>0</v>
      </c>
      <c r="G96" s="105">
        <f ca="1"/>
        <v>0</v>
      </c>
      <c r="H96" s="60"/>
      <c r="I96"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Equipment</v>
      </c>
      <c r="J96" s="60">
        <f>budgetMilestone1[[#This Row],[Milestone 1]]</f>
        <v>0</v>
      </c>
      <c r="K96" s="60">
        <f>SUMIFS(ARF[Amount in Euro], ARF[Co Director],budgetMilestone2[director], ARF[Category], budgetMilestone2[Category], ARF[Date], "&gt;" &amp; cleanDateMilestone1,ARF[Date], "&lt;=" &amp; cleanDateMilestone2)</f>
        <v>0</v>
      </c>
      <c r="L96" s="85">
        <f ca="1">'Milestone 2'!$D96</f>
        <v>0</v>
      </c>
      <c r="M96" s="85">
        <f ca="1">'Milestone 2'!$E96</f>
        <v>0</v>
      </c>
      <c r="N96" s="85">
        <f ca="1">'Milestone 2'!$F96</f>
        <v>0</v>
      </c>
      <c r="O96" s="60">
        <f ca="1">SUM(budgetMilestone2[[#This Row],[Milestone 1]:[Final]])</f>
        <v>0</v>
      </c>
      <c r="P96" s="60">
        <f>ROW()-ROW(budgetMilestone2[#Headers])</f>
        <v>79</v>
      </c>
      <c r="Q96" s="60">
        <f>IF(budgetMilestone2[row] &lt;= numCategories +3, budgetMilestone2[row]-1, MOD(budgetMilestone2[row]-1,numCategories+3) + IF(MOD(budgetMilestone2[row]-2,numCategories+2)&gt;numCategories+1, 1,0))</f>
        <v>1</v>
      </c>
      <c r="R96" s="60">
        <f>IFERROR(INDEX(directors[Last],MAX(1,FLOOR((budgetMilestone2[row]-1)/(numCategories+3)+1,1))),1)</f>
        <v>0</v>
      </c>
    </row>
    <row r="97" spans="1:18" ht="15" customHeight="1" x14ac:dyDescent="0.25">
      <c r="A97" s="105" t="str">
        <f ca="1"/>
        <v>Training</v>
      </c>
      <c r="B97" s="105">
        <f ca="1"/>
        <v>0</v>
      </c>
      <c r="C97" s="105">
        <f ca="1"/>
        <v>0</v>
      </c>
      <c r="D97" s="105">
        <f ca="1"/>
        <v>0</v>
      </c>
      <c r="E97" s="105">
        <f ca="1"/>
        <v>0</v>
      </c>
      <c r="F97" s="105">
        <f ca="1"/>
        <v>0</v>
      </c>
      <c r="G97" s="105">
        <f ca="1"/>
        <v>0</v>
      </c>
      <c r="H97" s="60"/>
      <c r="I97"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Training</v>
      </c>
      <c r="J97" s="60">
        <f>budgetMilestone1[[#This Row],[Milestone 1]]</f>
        <v>0</v>
      </c>
      <c r="K97" s="60">
        <f>SUMIFS(ARF[Amount in Euro], ARF[Co Director],budgetMilestone2[director], ARF[Category], budgetMilestone2[Category], ARF[Date], "&gt;" &amp; cleanDateMilestone1,ARF[Date], "&lt;=" &amp; cleanDateMilestone2)</f>
        <v>0</v>
      </c>
      <c r="L97" s="85">
        <f ca="1">'Milestone 2'!$D97</f>
        <v>0</v>
      </c>
      <c r="M97" s="85">
        <f ca="1">'Milestone 2'!$E97</f>
        <v>0</v>
      </c>
      <c r="N97" s="85">
        <f ca="1">'Milestone 2'!$F97</f>
        <v>0</v>
      </c>
      <c r="O97" s="60">
        <f ca="1">SUM(budgetMilestone2[[#This Row],[Milestone 1]:[Final]])</f>
        <v>0</v>
      </c>
      <c r="P97" s="60">
        <f>ROW()-ROW(budgetMilestone2[#Headers])</f>
        <v>80</v>
      </c>
      <c r="Q97" s="60">
        <f>IF(budgetMilestone2[row] &lt;= numCategories +3, budgetMilestone2[row]-1, MOD(budgetMilestone2[row]-1,numCategories+3) + IF(MOD(budgetMilestone2[row]-2,numCategories+2)&gt;numCategories+1, 1,0))</f>
        <v>2</v>
      </c>
      <c r="R97" s="60">
        <f>IFERROR(INDEX(directors[Last],MAX(1,FLOOR((budgetMilestone2[row]-1)/(numCategories+3)+1,1))),1)</f>
        <v>0</v>
      </c>
    </row>
    <row r="98" spans="1:18" ht="15" customHeight="1" x14ac:dyDescent="0.25">
      <c r="A98" s="105" t="str">
        <f ca="1"/>
        <v>Communication &amp; Publication</v>
      </c>
      <c r="B98" s="105">
        <f ca="1"/>
        <v>0</v>
      </c>
      <c r="C98" s="105">
        <f ca="1"/>
        <v>0</v>
      </c>
      <c r="D98" s="105">
        <f ca="1"/>
        <v>0</v>
      </c>
      <c r="E98" s="105">
        <f ca="1"/>
        <v>0</v>
      </c>
      <c r="F98" s="105">
        <f ca="1"/>
        <v>0</v>
      </c>
      <c r="G98" s="105">
        <f ca="1"/>
        <v>0</v>
      </c>
      <c r="H98" s="60"/>
      <c r="I98" s="61"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Communication &amp; Publication</v>
      </c>
      <c r="J98" s="60">
        <f>budgetMilestone1[[#This Row],[Milestone 1]]</f>
        <v>0</v>
      </c>
      <c r="K98" s="60">
        <f>SUMIFS(ARF[Amount in Euro], ARF[Co Director],budgetMilestone2[director], ARF[Category], budgetMilestone2[Category], ARF[Date], "&gt;" &amp; cleanDateMilestone1,ARF[Date], "&lt;=" &amp; cleanDateMilestone2)</f>
        <v>0</v>
      </c>
      <c r="L98" s="85">
        <f ca="1">'Milestone 2'!$D98</f>
        <v>0</v>
      </c>
      <c r="M98" s="85">
        <f ca="1">'Milestone 2'!$E98</f>
        <v>0</v>
      </c>
      <c r="N98" s="85">
        <f ca="1">'Milestone 2'!$F98</f>
        <v>0</v>
      </c>
      <c r="O98" s="60">
        <f ca="1">SUM(budgetMilestone2[[#This Row],[Milestone 1]:[Final]])</f>
        <v>0</v>
      </c>
      <c r="P98" s="61">
        <f>ROW()-ROW(budgetMilestone2[#Headers])</f>
        <v>81</v>
      </c>
      <c r="Q98" s="61">
        <f>IF(budgetMilestone2[row] &lt;= numCategories +3, budgetMilestone2[row]-1, MOD(budgetMilestone2[row]-1,numCategories+3) + IF(MOD(budgetMilestone2[row]-2,numCategories+2)&gt;numCategories+1, 1,0))</f>
        <v>3</v>
      </c>
      <c r="R98" s="60">
        <f>IFERROR(INDEX(directors[Last],MAX(1,FLOOR((budgetMilestone2[row]-1)/(numCategories+3)+1,1))),1)</f>
        <v>0</v>
      </c>
    </row>
    <row r="99" spans="1:18" ht="15" customHeight="1" x14ac:dyDescent="0.25">
      <c r="A99" s="105" t="str">
        <f ca="1"/>
        <v>Travel</v>
      </c>
      <c r="B99" s="105">
        <f ca="1"/>
        <v>0</v>
      </c>
      <c r="C99" s="105">
        <f ca="1"/>
        <v>0</v>
      </c>
      <c r="D99" s="105">
        <f ca="1"/>
        <v>0</v>
      </c>
      <c r="E99" s="105">
        <f ca="1"/>
        <v>0</v>
      </c>
      <c r="F99" s="105">
        <f ca="1"/>
        <v>0</v>
      </c>
      <c r="G99" s="105">
        <f ca="1"/>
        <v>0</v>
      </c>
      <c r="H99" s="60"/>
      <c r="I99"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Travel</v>
      </c>
      <c r="J99" s="60">
        <f>budgetMilestone1[[#This Row],[Milestone 1]]</f>
        <v>0</v>
      </c>
      <c r="K99" s="60">
        <f>SUMIFS(ARF[Amount in Euro], ARF[Co Director],budgetMilestone2[director], ARF[Category], budgetMilestone2[Category], ARF[Date], "&gt;" &amp; cleanDateMilestone1,ARF[Date], "&lt;=" &amp; cleanDateMilestone2)</f>
        <v>0</v>
      </c>
      <c r="L99" s="85">
        <f ca="1">'Milestone 2'!$D99</f>
        <v>0</v>
      </c>
      <c r="M99" s="85">
        <f ca="1">'Milestone 2'!$E99</f>
        <v>0</v>
      </c>
      <c r="N99" s="85">
        <f ca="1">'Milestone 2'!$F99</f>
        <v>0</v>
      </c>
      <c r="O99" s="60">
        <f ca="1">SUM(budgetMilestone2[[#This Row],[Milestone 1]:[Final]])</f>
        <v>0</v>
      </c>
      <c r="P99" s="60">
        <f>ROW()-ROW(budgetMilestone2[#Headers])</f>
        <v>82</v>
      </c>
      <c r="Q99" s="60">
        <f>IF(budgetMilestone2[row] &lt;= numCategories +3, budgetMilestone2[row]-1, MOD(budgetMilestone2[row]-1,numCategories+3) + IF(MOD(budgetMilestone2[row]-2,numCategories+2)&gt;numCategories+1, 1,0))</f>
        <v>4</v>
      </c>
      <c r="R99" s="60">
        <f>IFERROR(INDEX(directors[Last],MAX(1,FLOOR((budgetMilestone2[row]-1)/(numCategories+3)+1,1))),1)</f>
        <v>0</v>
      </c>
    </row>
    <row r="100" spans="1:18" ht="15" customHeight="1" x14ac:dyDescent="0.25">
      <c r="A100" s="105" t="str">
        <f ca="1"/>
        <v>Consumables</v>
      </c>
      <c r="B100" s="105">
        <f ca="1"/>
        <v>0</v>
      </c>
      <c r="C100" s="105">
        <f ca="1"/>
        <v>0</v>
      </c>
      <c r="D100" s="105">
        <f ca="1"/>
        <v>0</v>
      </c>
      <c r="E100" s="105">
        <f ca="1"/>
        <v>0</v>
      </c>
      <c r="F100" s="105">
        <f ca="1"/>
        <v>0</v>
      </c>
      <c r="G100" s="105">
        <f ca="1"/>
        <v>0</v>
      </c>
      <c r="H100" s="60"/>
      <c r="I100"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Consumables</v>
      </c>
      <c r="J100" s="60">
        <f>budgetMilestone1[[#This Row],[Milestone 1]]</f>
        <v>0</v>
      </c>
      <c r="K100" s="60">
        <f>SUMIFS(ARF[Amount in Euro], ARF[Co Director],budgetMilestone2[director], ARF[Category], budgetMilestone2[Category], ARF[Date], "&gt;" &amp; cleanDateMilestone1,ARF[Date], "&lt;=" &amp; cleanDateMilestone2)</f>
        <v>0</v>
      </c>
      <c r="L100" s="85">
        <f ca="1">'Milestone 2'!$D100</f>
        <v>0</v>
      </c>
      <c r="M100" s="85">
        <f ca="1">'Milestone 2'!$E100</f>
        <v>0</v>
      </c>
      <c r="N100" s="85">
        <f ca="1">'Milestone 2'!$F100</f>
        <v>0</v>
      </c>
      <c r="O100" s="60">
        <f ca="1">SUM(budgetMilestone2[[#This Row],[Milestone 1]:[Final]])</f>
        <v>0</v>
      </c>
      <c r="P100" s="60">
        <f>ROW()-ROW(budgetMilestone2[#Headers])</f>
        <v>83</v>
      </c>
      <c r="Q100" s="60">
        <f>IF(budgetMilestone2[row] &lt;= numCategories +3, budgetMilestone2[row]-1, MOD(budgetMilestone2[row]-1,numCategories+3) + IF(MOD(budgetMilestone2[row]-2,numCategories+2)&gt;numCategories+1, 1,0))</f>
        <v>5</v>
      </c>
      <c r="R100" s="60">
        <f>IFERROR(INDEX(directors[Last],MAX(1,FLOOR((budgetMilestone2[row]-1)/(numCategories+3)+1,1))),1)</f>
        <v>0</v>
      </c>
    </row>
    <row r="101" spans="1:18" ht="15" customHeight="1" x14ac:dyDescent="0.25">
      <c r="A101" s="105" t="str">
        <f ca="1"/>
        <v>Other</v>
      </c>
      <c r="B101" s="105">
        <f ca="1"/>
        <v>0</v>
      </c>
      <c r="C101" s="105">
        <f ca="1"/>
        <v>0</v>
      </c>
      <c r="D101" s="105">
        <f ca="1"/>
        <v>0</v>
      </c>
      <c r="E101" s="105">
        <f ca="1"/>
        <v>0</v>
      </c>
      <c r="F101" s="105">
        <f ca="1"/>
        <v>0</v>
      </c>
      <c r="G101" s="105">
        <f ca="1"/>
        <v>0</v>
      </c>
      <c r="H101" s="60"/>
      <c r="I101"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Other</v>
      </c>
      <c r="J101" s="60">
        <f>budgetMilestone1[[#This Row],[Milestone 1]]</f>
        <v>0</v>
      </c>
      <c r="K101" s="60">
        <f>SUMIFS(ARF[Amount in Euro], ARF[Co Director],budgetMilestone2[director], ARF[Category], budgetMilestone2[Category], ARF[Date], "&gt;" &amp; cleanDateMilestone1,ARF[Date], "&lt;=" &amp; cleanDateMilestone2)</f>
        <v>0</v>
      </c>
      <c r="L101" s="85">
        <f ca="1">'Milestone 2'!$D101</f>
        <v>0</v>
      </c>
      <c r="M101" s="85">
        <f ca="1">'Milestone 2'!$E101</f>
        <v>0</v>
      </c>
      <c r="N101" s="85">
        <f ca="1">'Milestone 2'!$F101</f>
        <v>0</v>
      </c>
      <c r="O101" s="60">
        <f ca="1">SUM(budgetMilestone2[[#This Row],[Milestone 1]:[Final]])</f>
        <v>0</v>
      </c>
      <c r="P101" s="60">
        <f>ROW()-ROW(budgetMilestone2[#Headers])</f>
        <v>84</v>
      </c>
      <c r="Q101" s="60">
        <f>IF(budgetMilestone2[row] &lt;= numCategories +3, budgetMilestone2[row]-1, MOD(budgetMilestone2[row]-1,numCategories+3) + IF(MOD(budgetMilestone2[row]-2,numCategories+2)&gt;numCategories+1, 1,0))</f>
        <v>6</v>
      </c>
      <c r="R101" s="60">
        <f>IFERROR(INDEX(directors[Last],MAX(1,FLOOR((budgetMilestone2[row]-1)/(numCategories+3)+1,1))),1)</f>
        <v>0</v>
      </c>
    </row>
    <row r="102" spans="1:18" ht="15" customHeight="1" x14ac:dyDescent="0.25">
      <c r="A102" s="105" t="str">
        <f ca="1"/>
        <v>Stipends</v>
      </c>
      <c r="B102" s="105">
        <f ca="1"/>
        <v>0</v>
      </c>
      <c r="C102" s="105">
        <f ca="1"/>
        <v>0</v>
      </c>
      <c r="D102" s="105">
        <f ca="1"/>
        <v>0</v>
      </c>
      <c r="E102" s="105">
        <f ca="1"/>
        <v>0</v>
      </c>
      <c r="F102" s="105">
        <f ca="1"/>
        <v>0</v>
      </c>
      <c r="G102" s="105">
        <f ca="1"/>
        <v>0</v>
      </c>
      <c r="H102" s="60"/>
      <c r="I102"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Stipends</v>
      </c>
      <c r="J102" s="60">
        <f>budgetMilestone1[[#This Row],[Milestone 1]]</f>
        <v>0</v>
      </c>
      <c r="K102" s="60">
        <f>SUMIFS(ARF[Amount in Euro], ARF[Co Director],budgetMilestone2[director], ARF[Category], budgetMilestone2[Category], ARF[Date], "&gt;" &amp; cleanDateMilestone1,ARF[Date], "&lt;=" &amp; cleanDateMilestone2)</f>
        <v>0</v>
      </c>
      <c r="L102" s="85">
        <f ca="1">'Milestone 2'!$D102</f>
        <v>0</v>
      </c>
      <c r="M102" s="85">
        <f ca="1">'Milestone 2'!$E102</f>
        <v>0</v>
      </c>
      <c r="N102" s="85">
        <f ca="1">'Milestone 2'!$F102</f>
        <v>0</v>
      </c>
      <c r="O102" s="60">
        <f ca="1">SUM(budgetMilestone2[[#This Row],[Milestone 1]:[Final]])</f>
        <v>0</v>
      </c>
      <c r="P102" s="60">
        <f>ROW()-ROW(budgetMilestone2[#Headers])</f>
        <v>85</v>
      </c>
      <c r="Q102" s="60">
        <f>IF(budgetMilestone2[row] &lt;= numCategories +3, budgetMilestone2[row]-1, MOD(budgetMilestone2[row]-1,numCategories+3) + IF(MOD(budgetMilestone2[row]-2,numCategories+2)&gt;numCategories+1, 1,0))</f>
        <v>7</v>
      </c>
      <c r="R102" s="60">
        <f>IFERROR(INDEX(directors[Last],MAX(1,FLOOR((budgetMilestone2[row]-1)/(numCategories+3)+1,1))),1)</f>
        <v>0</v>
      </c>
    </row>
    <row r="103" spans="1:18" ht="15" customHeight="1" x14ac:dyDescent="0.25">
      <c r="A103" s="105" t="str">
        <f ca="1"/>
        <v>Co-financing of personnel</v>
      </c>
      <c r="B103" s="105">
        <f ca="1"/>
        <v>0</v>
      </c>
      <c r="C103" s="105">
        <f ca="1"/>
        <v>0</v>
      </c>
      <c r="D103" s="105">
        <f ca="1"/>
        <v>0</v>
      </c>
      <c r="E103" s="105">
        <f ca="1"/>
        <v>0</v>
      </c>
      <c r="F103" s="105">
        <f ca="1"/>
        <v>0</v>
      </c>
      <c r="G103" s="105">
        <f ca="1"/>
        <v>0</v>
      </c>
      <c r="H103" s="60"/>
      <c r="I103"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Co-financing of personnel</v>
      </c>
      <c r="J103" s="60">
        <f>budgetMilestone1[[#This Row],[Milestone 1]]</f>
        <v>0</v>
      </c>
      <c r="K103" s="60">
        <f>SUMIFS(ARF[Amount in Euro], ARF[Co Director],budgetMilestone2[director], ARF[Category], budgetMilestone2[Category], ARF[Date], "&gt;" &amp; cleanDateMilestone1,ARF[Date], "&lt;=" &amp; cleanDateMilestone2)</f>
        <v>0</v>
      </c>
      <c r="L103" s="85">
        <f ca="1">'Milestone 2'!$D103</f>
        <v>0</v>
      </c>
      <c r="M103" s="85">
        <f ca="1">'Milestone 2'!$E103</f>
        <v>0</v>
      </c>
      <c r="N103" s="85">
        <f ca="1">'Milestone 2'!$F103</f>
        <v>0</v>
      </c>
      <c r="O103" s="60">
        <f ca="1">SUM(budgetMilestone2[[#This Row],[Milestone 1]:[Final]])</f>
        <v>0</v>
      </c>
      <c r="P103" s="60">
        <f>ROW()-ROW(budgetMilestone2[#Headers])</f>
        <v>86</v>
      </c>
      <c r="Q103" s="60">
        <f>IF(budgetMilestone2[row] &lt;= numCategories +3, budgetMilestone2[row]-1, MOD(budgetMilestone2[row]-1,numCategories+3) + IF(MOD(budgetMilestone2[row]-2,numCategories+2)&gt;numCategories+1, 1,0))</f>
        <v>8</v>
      </c>
      <c r="R103" s="60">
        <f>IFERROR(INDEX(directors[Last],MAX(1,FLOOR((budgetMilestone2[row]-1)/(numCategories+3)+1,1))),1)</f>
        <v>0</v>
      </c>
    </row>
    <row r="104" spans="1:18" ht="15" customHeight="1" x14ac:dyDescent="0.25">
      <c r="A104" s="105" t="str">
        <f ca="1"/>
        <v>Subtotal 0</v>
      </c>
      <c r="B104" s="105">
        <f ca="1"/>
        <v>0</v>
      </c>
      <c r="C104" s="105">
        <f ca="1"/>
        <v>0</v>
      </c>
      <c r="D104" s="105">
        <f ca="1"/>
        <v>0</v>
      </c>
      <c r="E104" s="105">
        <f ca="1"/>
        <v>0</v>
      </c>
      <c r="F104" s="105">
        <f ca="1"/>
        <v>0</v>
      </c>
      <c r="G104" s="105">
        <f ca="1"/>
        <v>0</v>
      </c>
      <c r="H104" s="60"/>
      <c r="I104" s="61"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Subtotal 0</v>
      </c>
      <c r="J104" s="60">
        <f>budgetMilestone1[[#This Row],[Milestone 1]]</f>
        <v>0</v>
      </c>
      <c r="K104" s="60">
        <f t="shared" ref="K104:O126" si="5">SUBTOTAL(9,K96:K103)</f>
        <v>0</v>
      </c>
      <c r="L104" s="60">
        <f t="shared" ca="1" si="5"/>
        <v>0</v>
      </c>
      <c r="M104" s="60">
        <f t="shared" ca="1" si="5"/>
        <v>0</v>
      </c>
      <c r="N104" s="60">
        <f t="shared" ca="1" si="5"/>
        <v>0</v>
      </c>
      <c r="O104" s="60">
        <f t="shared" ca="1" si="5"/>
        <v>0</v>
      </c>
      <c r="P104" s="61">
        <f>ROW()-ROW(budgetMilestone2[#Headers])</f>
        <v>87</v>
      </c>
      <c r="Q104" s="61">
        <f>IF(budgetMilestone2[row] &lt;= numCategories +3, budgetMilestone2[row]-1, MOD(budgetMilestone2[row]-1,numCategories+3) + IF(MOD(budgetMilestone2[row]-2,numCategories+2)&gt;numCategories+1, 1,0))</f>
        <v>9</v>
      </c>
      <c r="R104" s="60">
        <f>IFERROR(INDEX(directors[Last],MAX(1,FLOOR((budgetMilestone2[row]-1)/(numCategories+3)+1,1))),1)</f>
        <v>0</v>
      </c>
    </row>
    <row r="105" spans="1:18" ht="15" customHeight="1" x14ac:dyDescent="0.25">
      <c r="A105" s="105" t="str">
        <f ca="1"/>
        <v/>
      </c>
      <c r="B105" s="105">
        <f ca="1"/>
        <v>0</v>
      </c>
      <c r="C105" s="105">
        <f ca="1"/>
        <v>0</v>
      </c>
      <c r="D105" s="105">
        <f ca="1"/>
        <v>0</v>
      </c>
      <c r="E105" s="105">
        <f ca="1"/>
        <v>0</v>
      </c>
      <c r="F105" s="105">
        <f ca="1"/>
        <v>0</v>
      </c>
      <c r="G105" s="105">
        <f ca="1"/>
        <v>0</v>
      </c>
      <c r="H105" s="60"/>
      <c r="I105"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c>
      <c r="J105" s="60">
        <f>budgetMilestone1[[#This Row],[Milestone 1]]</f>
        <v>0</v>
      </c>
      <c r="K105" s="60"/>
      <c r="L105" s="60"/>
      <c r="M105" s="60"/>
      <c r="N105" s="60"/>
      <c r="O105" s="60">
        <f>SUM(budgetMilestone2[[#This Row],[Milestone 1]:[Final]])</f>
        <v>0</v>
      </c>
      <c r="P105" s="60">
        <f>ROW()-ROW(budgetMilestone2[#Headers])</f>
        <v>88</v>
      </c>
      <c r="Q105" s="60">
        <f>IF(budgetMilestone2[row] &lt;= numCategories +3, budgetMilestone2[row]-1, MOD(budgetMilestone2[row]-1,numCategories+3) + IF(MOD(budgetMilestone2[row]-2,numCategories+2)&gt;numCategories+1, 1,0))</f>
        <v>10</v>
      </c>
      <c r="R105" s="60">
        <f>IFERROR(INDEX(directors[Last],MAX(1,FLOOR((budgetMilestone2[row]-1)/(numCategories+3)+1,1))),1)</f>
        <v>0</v>
      </c>
    </row>
    <row r="106" spans="1:18" ht="15" customHeight="1" x14ac:dyDescent="0.25">
      <c r="A106" s="105" t="str">
        <f ca="1"/>
        <v xml:space="preserve">0 / </v>
      </c>
      <c r="B106" s="105">
        <f ca="1"/>
        <v>0</v>
      </c>
      <c r="C106" s="105">
        <f ca="1"/>
        <v>0</v>
      </c>
      <c r="D106" s="105">
        <f ca="1"/>
        <v>0</v>
      </c>
      <c r="E106" s="105">
        <f ca="1"/>
        <v>0</v>
      </c>
      <c r="F106" s="105">
        <f ca="1"/>
        <v>0</v>
      </c>
      <c r="G106" s="105">
        <f ca="1"/>
        <v>0</v>
      </c>
      <c r="H106" s="60"/>
      <c r="I106"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xml:space="preserve">0 / </v>
      </c>
      <c r="J106" s="60">
        <f>budgetMilestone1[[#This Row],[Milestone 1]]</f>
        <v>0</v>
      </c>
      <c r="K106" s="60"/>
      <c r="L106" s="60"/>
      <c r="M106" s="60"/>
      <c r="N106" s="60"/>
      <c r="O106" s="60">
        <f>SUM(budgetMilestone2[[#This Row],[Milestone 1]:[Final]])</f>
        <v>0</v>
      </c>
      <c r="P106" s="60">
        <f>ROW()-ROW(budgetMilestone2[#Headers])</f>
        <v>89</v>
      </c>
      <c r="Q106" s="60">
        <f>IF(budgetMilestone2[row] &lt;= numCategories +3, budgetMilestone2[row]-1, MOD(budgetMilestone2[row]-1,numCategories+3) + IF(MOD(budgetMilestone2[row]-2,numCategories+2)&gt;numCategories+1, 1,0))</f>
        <v>0</v>
      </c>
      <c r="R106" s="60">
        <f>IFERROR(INDEX(directors[Last],MAX(1,FLOOR((budgetMilestone2[row]-1)/(numCategories+3)+1,1))),1)</f>
        <v>0</v>
      </c>
    </row>
    <row r="107" spans="1:18" ht="15" customHeight="1" x14ac:dyDescent="0.25">
      <c r="A107" s="105" t="str">
        <f ca="1"/>
        <v>Equipment</v>
      </c>
      <c r="B107" s="105">
        <f ca="1"/>
        <v>0</v>
      </c>
      <c r="C107" s="105">
        <f ca="1"/>
        <v>0</v>
      </c>
      <c r="D107" s="105">
        <f ca="1"/>
        <v>0</v>
      </c>
      <c r="E107" s="105">
        <f ca="1"/>
        <v>0</v>
      </c>
      <c r="F107" s="105">
        <f ca="1"/>
        <v>0</v>
      </c>
      <c r="G107" s="105">
        <f ca="1"/>
        <v>0</v>
      </c>
      <c r="H107" s="60"/>
      <c r="I107" s="61"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Equipment</v>
      </c>
      <c r="J107" s="60">
        <f>budgetMilestone1[[#This Row],[Milestone 1]]</f>
        <v>0</v>
      </c>
      <c r="K107" s="60">
        <f>SUMIFS(ARF[Amount in Euro], ARF[Co Director],budgetMilestone2[director], ARF[Category], budgetMilestone2[Category], ARF[Date], "&gt;" &amp; cleanDateMilestone1,ARF[Date], "&lt;=" &amp; cleanDateMilestone2)</f>
        <v>0</v>
      </c>
      <c r="L107" s="85">
        <f ca="1">'Milestone 2'!$D107</f>
        <v>0</v>
      </c>
      <c r="M107" s="85">
        <f ca="1">'Milestone 2'!$E107</f>
        <v>0</v>
      </c>
      <c r="N107" s="85">
        <f ca="1">'Milestone 2'!$F107</f>
        <v>0</v>
      </c>
      <c r="O107" s="60">
        <f ca="1">SUM(budgetMilestone2[[#This Row],[Milestone 1]:[Final]])</f>
        <v>0</v>
      </c>
      <c r="P107" s="61">
        <f>ROW()-ROW(budgetMilestone2[#Headers])</f>
        <v>90</v>
      </c>
      <c r="Q107" s="61">
        <f>IF(budgetMilestone2[row] &lt;= numCategories +3, budgetMilestone2[row]-1, MOD(budgetMilestone2[row]-1,numCategories+3) + IF(MOD(budgetMilestone2[row]-2,numCategories+2)&gt;numCategories+1, 1,0))</f>
        <v>1</v>
      </c>
      <c r="R107" s="60">
        <f>IFERROR(INDEX(directors[Last],MAX(1,FLOOR((budgetMilestone2[row]-1)/(numCategories+3)+1,1))),1)</f>
        <v>0</v>
      </c>
    </row>
    <row r="108" spans="1:18" ht="15" customHeight="1" x14ac:dyDescent="0.25">
      <c r="A108" s="105" t="str">
        <f ca="1"/>
        <v>Training</v>
      </c>
      <c r="B108" s="105">
        <f ca="1"/>
        <v>0</v>
      </c>
      <c r="C108" s="105">
        <f ca="1"/>
        <v>0</v>
      </c>
      <c r="D108" s="105">
        <f ca="1"/>
        <v>0</v>
      </c>
      <c r="E108" s="105">
        <f ca="1"/>
        <v>0</v>
      </c>
      <c r="F108" s="105">
        <f ca="1"/>
        <v>0</v>
      </c>
      <c r="G108" s="105">
        <f ca="1"/>
        <v>0</v>
      </c>
      <c r="H108" s="60"/>
      <c r="I108"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Training</v>
      </c>
      <c r="J108" s="60">
        <f>budgetMilestone1[[#This Row],[Milestone 1]]</f>
        <v>0</v>
      </c>
      <c r="K108" s="60">
        <f>SUMIFS(ARF[Amount in Euro], ARF[Co Director],budgetMilestone2[director], ARF[Category], budgetMilestone2[Category], ARF[Date], "&gt;" &amp; cleanDateMilestone1,ARF[Date], "&lt;=" &amp; cleanDateMilestone2)</f>
        <v>0</v>
      </c>
      <c r="L108" s="85">
        <f ca="1">'Milestone 2'!$D108</f>
        <v>0</v>
      </c>
      <c r="M108" s="85">
        <f ca="1">'Milestone 2'!$E108</f>
        <v>0</v>
      </c>
      <c r="N108" s="85">
        <f ca="1">'Milestone 2'!$F108</f>
        <v>0</v>
      </c>
      <c r="O108" s="60">
        <f ca="1">SUM(budgetMilestone2[[#This Row],[Milestone 1]:[Final]])</f>
        <v>0</v>
      </c>
      <c r="P108" s="60">
        <f>ROW()-ROW(budgetMilestone2[#Headers])</f>
        <v>91</v>
      </c>
      <c r="Q108" s="60">
        <f>IF(budgetMilestone2[row] &lt;= numCategories +3, budgetMilestone2[row]-1, MOD(budgetMilestone2[row]-1,numCategories+3) + IF(MOD(budgetMilestone2[row]-2,numCategories+2)&gt;numCategories+1, 1,0))</f>
        <v>2</v>
      </c>
      <c r="R108" s="60">
        <f>IFERROR(INDEX(directors[Last],MAX(1,FLOOR((budgetMilestone2[row]-1)/(numCategories+3)+1,1))),1)</f>
        <v>0</v>
      </c>
    </row>
    <row r="109" spans="1:18" ht="15" customHeight="1" x14ac:dyDescent="0.25">
      <c r="A109" s="105" t="str">
        <f ca="1"/>
        <v>Communication &amp; Publication</v>
      </c>
      <c r="B109" s="105">
        <f ca="1"/>
        <v>0</v>
      </c>
      <c r="C109" s="105">
        <f ca="1"/>
        <v>0</v>
      </c>
      <c r="D109" s="105">
        <f ca="1"/>
        <v>0</v>
      </c>
      <c r="E109" s="105">
        <f ca="1"/>
        <v>0</v>
      </c>
      <c r="F109" s="105">
        <f ca="1"/>
        <v>0</v>
      </c>
      <c r="G109" s="105">
        <f ca="1"/>
        <v>0</v>
      </c>
      <c r="H109" s="60"/>
      <c r="I109" s="61"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Communication &amp; Publication</v>
      </c>
      <c r="J109" s="60">
        <f>budgetMilestone1[[#This Row],[Milestone 1]]</f>
        <v>0</v>
      </c>
      <c r="K109" s="60">
        <f>SUMIFS(ARF[Amount in Euro], ARF[Co Director],budgetMilestone2[director], ARF[Category], budgetMilestone2[Category], ARF[Date], "&gt;" &amp; cleanDateMilestone1,ARF[Date], "&lt;=" &amp; cleanDateMilestone2)</f>
        <v>0</v>
      </c>
      <c r="L109" s="85">
        <f ca="1">'Milestone 2'!$D109</f>
        <v>0</v>
      </c>
      <c r="M109" s="85">
        <f ca="1">'Milestone 2'!$E109</f>
        <v>0</v>
      </c>
      <c r="N109" s="85">
        <f ca="1">'Milestone 2'!$F109</f>
        <v>0</v>
      </c>
      <c r="O109" s="60">
        <f ca="1">SUM(budgetMilestone2[[#This Row],[Milestone 1]:[Final]])</f>
        <v>0</v>
      </c>
      <c r="P109" s="61">
        <f>ROW()-ROW(budgetMilestone2[#Headers])</f>
        <v>92</v>
      </c>
      <c r="Q109" s="61">
        <f>IF(budgetMilestone2[row] &lt;= numCategories +3, budgetMilestone2[row]-1, MOD(budgetMilestone2[row]-1,numCategories+3) + IF(MOD(budgetMilestone2[row]-2,numCategories+2)&gt;numCategories+1, 1,0))</f>
        <v>3</v>
      </c>
      <c r="R109" s="60">
        <f>IFERROR(INDEX(directors[Last],MAX(1,FLOOR((budgetMilestone2[row]-1)/(numCategories+3)+1,1))),1)</f>
        <v>0</v>
      </c>
    </row>
    <row r="110" spans="1:18" ht="15" customHeight="1" x14ac:dyDescent="0.25">
      <c r="A110" s="105" t="str">
        <f ca="1"/>
        <v>Travel</v>
      </c>
      <c r="B110" s="105">
        <f ca="1"/>
        <v>0</v>
      </c>
      <c r="C110" s="105">
        <f ca="1"/>
        <v>0</v>
      </c>
      <c r="D110" s="105">
        <f ca="1"/>
        <v>0</v>
      </c>
      <c r="E110" s="105">
        <f ca="1"/>
        <v>0</v>
      </c>
      <c r="F110" s="105">
        <f ca="1"/>
        <v>0</v>
      </c>
      <c r="G110" s="105">
        <f ca="1"/>
        <v>0</v>
      </c>
      <c r="H110" s="60"/>
      <c r="I110"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Travel</v>
      </c>
      <c r="J110" s="60">
        <f>budgetMilestone1[[#This Row],[Milestone 1]]</f>
        <v>0</v>
      </c>
      <c r="K110" s="60">
        <f>SUMIFS(ARF[Amount in Euro], ARF[Co Director],budgetMilestone2[director], ARF[Category], budgetMilestone2[Category], ARF[Date], "&gt;" &amp; cleanDateMilestone1,ARF[Date], "&lt;=" &amp; cleanDateMilestone2)</f>
        <v>0</v>
      </c>
      <c r="L110" s="85">
        <f ca="1">'Milestone 2'!$D110</f>
        <v>0</v>
      </c>
      <c r="M110" s="85">
        <f ca="1">'Milestone 2'!$E110</f>
        <v>0</v>
      </c>
      <c r="N110" s="85">
        <f ca="1">'Milestone 2'!$F110</f>
        <v>0</v>
      </c>
      <c r="O110" s="60">
        <f ca="1">SUM(budgetMilestone2[[#This Row],[Milestone 1]:[Final]])</f>
        <v>0</v>
      </c>
      <c r="P110" s="60">
        <f>ROW()-ROW(budgetMilestone2[#Headers])</f>
        <v>93</v>
      </c>
      <c r="Q110" s="60">
        <f>IF(budgetMilestone2[row] &lt;= numCategories +3, budgetMilestone2[row]-1, MOD(budgetMilestone2[row]-1,numCategories+3) + IF(MOD(budgetMilestone2[row]-2,numCategories+2)&gt;numCategories+1, 1,0))</f>
        <v>4</v>
      </c>
      <c r="R110" s="60">
        <f>IFERROR(INDEX(directors[Last],MAX(1,FLOOR((budgetMilestone2[row]-1)/(numCategories+3)+1,1))),1)</f>
        <v>0</v>
      </c>
    </row>
    <row r="111" spans="1:18" ht="15" customHeight="1" x14ac:dyDescent="0.25">
      <c r="A111" s="105" t="str">
        <f ca="1"/>
        <v>Consumables</v>
      </c>
      <c r="B111" s="105">
        <f ca="1"/>
        <v>0</v>
      </c>
      <c r="C111" s="105">
        <f ca="1"/>
        <v>0</v>
      </c>
      <c r="D111" s="105">
        <f ca="1"/>
        <v>0</v>
      </c>
      <c r="E111" s="105">
        <f ca="1"/>
        <v>0</v>
      </c>
      <c r="F111" s="105">
        <f ca="1"/>
        <v>0</v>
      </c>
      <c r="G111" s="105">
        <f ca="1"/>
        <v>0</v>
      </c>
      <c r="H111" s="60"/>
      <c r="I111"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Consumables</v>
      </c>
      <c r="J111" s="60">
        <f>budgetMilestone1[[#This Row],[Milestone 1]]</f>
        <v>0</v>
      </c>
      <c r="K111" s="60">
        <f>SUMIFS(ARF[Amount in Euro], ARF[Co Director],budgetMilestone2[director], ARF[Category], budgetMilestone2[Category], ARF[Date], "&gt;" &amp; cleanDateMilestone1,ARF[Date], "&lt;=" &amp; cleanDateMilestone2)</f>
        <v>0</v>
      </c>
      <c r="L111" s="85">
        <f ca="1">'Milestone 2'!$D111</f>
        <v>0</v>
      </c>
      <c r="M111" s="85">
        <f ca="1">'Milestone 2'!$E111</f>
        <v>0</v>
      </c>
      <c r="N111" s="85">
        <f ca="1">'Milestone 2'!$F111</f>
        <v>0</v>
      </c>
      <c r="O111" s="60">
        <f ca="1">SUM(budgetMilestone2[[#This Row],[Milestone 1]:[Final]])</f>
        <v>0</v>
      </c>
      <c r="P111" s="60">
        <f>ROW()-ROW(budgetMilestone2[#Headers])</f>
        <v>94</v>
      </c>
      <c r="Q111" s="60">
        <f>IF(budgetMilestone2[row] &lt;= numCategories +3, budgetMilestone2[row]-1, MOD(budgetMilestone2[row]-1,numCategories+3) + IF(MOD(budgetMilestone2[row]-2,numCategories+2)&gt;numCategories+1, 1,0))</f>
        <v>5</v>
      </c>
      <c r="R111" s="60">
        <f>IFERROR(INDEX(directors[Last],MAX(1,FLOOR((budgetMilestone2[row]-1)/(numCategories+3)+1,1))),1)</f>
        <v>0</v>
      </c>
    </row>
    <row r="112" spans="1:18" ht="15" customHeight="1" x14ac:dyDescent="0.25">
      <c r="A112" s="105" t="str">
        <f ca="1"/>
        <v>Other</v>
      </c>
      <c r="B112" s="105">
        <f ca="1"/>
        <v>0</v>
      </c>
      <c r="C112" s="105">
        <f ca="1"/>
        <v>0</v>
      </c>
      <c r="D112" s="105">
        <f ca="1"/>
        <v>0</v>
      </c>
      <c r="E112" s="105">
        <f ca="1"/>
        <v>0</v>
      </c>
      <c r="F112" s="105">
        <f ca="1"/>
        <v>0</v>
      </c>
      <c r="G112" s="105">
        <f ca="1"/>
        <v>0</v>
      </c>
      <c r="H112" s="60"/>
      <c r="I112" s="61"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Other</v>
      </c>
      <c r="J112" s="60">
        <f>budgetMilestone1[[#This Row],[Milestone 1]]</f>
        <v>0</v>
      </c>
      <c r="K112" s="60">
        <f>SUMIFS(ARF[Amount in Euro], ARF[Co Director],budgetMilestone2[director], ARF[Category], budgetMilestone2[Category], ARF[Date], "&gt;" &amp; cleanDateMilestone1,ARF[Date], "&lt;=" &amp; cleanDateMilestone2)</f>
        <v>0</v>
      </c>
      <c r="L112" s="85">
        <f ca="1">'Milestone 2'!$D112</f>
        <v>0</v>
      </c>
      <c r="M112" s="85">
        <f ca="1">'Milestone 2'!$E112</f>
        <v>0</v>
      </c>
      <c r="N112" s="85">
        <f ca="1">'Milestone 2'!$F112</f>
        <v>0</v>
      </c>
      <c r="O112" s="60">
        <f ca="1">SUM(budgetMilestone2[[#This Row],[Milestone 1]:[Final]])</f>
        <v>0</v>
      </c>
      <c r="P112" s="61">
        <f>ROW()-ROW(budgetMilestone2[#Headers])</f>
        <v>95</v>
      </c>
      <c r="Q112" s="61">
        <f>IF(budgetMilestone2[row] &lt;= numCategories +3, budgetMilestone2[row]-1, MOD(budgetMilestone2[row]-1,numCategories+3) + IF(MOD(budgetMilestone2[row]-2,numCategories+2)&gt;numCategories+1, 1,0))</f>
        <v>6</v>
      </c>
      <c r="R112" s="60">
        <f>IFERROR(INDEX(directors[Last],MAX(1,FLOOR((budgetMilestone2[row]-1)/(numCategories+3)+1,1))),1)</f>
        <v>0</v>
      </c>
    </row>
    <row r="113" spans="1:18" ht="15" customHeight="1" x14ac:dyDescent="0.25">
      <c r="A113" s="105" t="str">
        <f ca="1"/>
        <v>Stipends</v>
      </c>
      <c r="B113" s="105">
        <f ca="1"/>
        <v>0</v>
      </c>
      <c r="C113" s="105">
        <f ca="1"/>
        <v>0</v>
      </c>
      <c r="D113" s="105">
        <f ca="1"/>
        <v>0</v>
      </c>
      <c r="E113" s="105">
        <f ca="1"/>
        <v>0</v>
      </c>
      <c r="F113" s="105">
        <f ca="1"/>
        <v>0</v>
      </c>
      <c r="G113" s="105">
        <f ca="1"/>
        <v>0</v>
      </c>
      <c r="H113" s="60"/>
      <c r="I113" s="61"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Stipends</v>
      </c>
      <c r="J113" s="60">
        <f>budgetMilestone1[[#This Row],[Milestone 1]]</f>
        <v>0</v>
      </c>
      <c r="K113" s="60">
        <f>SUMIFS(ARF[Amount in Euro], ARF[Co Director],budgetMilestone2[director], ARF[Category], budgetMilestone2[Category], ARF[Date], "&gt;" &amp; cleanDateMilestone1,ARF[Date], "&lt;=" &amp; cleanDateMilestone2)</f>
        <v>0</v>
      </c>
      <c r="L113" s="85">
        <f ca="1">'Milestone 2'!$D113</f>
        <v>0</v>
      </c>
      <c r="M113" s="85">
        <f ca="1">'Milestone 2'!$E113</f>
        <v>0</v>
      </c>
      <c r="N113" s="85">
        <f ca="1">'Milestone 2'!$F113</f>
        <v>0</v>
      </c>
      <c r="O113" s="60">
        <f ca="1">SUM(budgetMilestone2[[#This Row],[Milestone 1]:[Final]])</f>
        <v>0</v>
      </c>
      <c r="P113" s="61">
        <f>ROW()-ROW(budgetMilestone2[#Headers])</f>
        <v>96</v>
      </c>
      <c r="Q113" s="61">
        <f>IF(budgetMilestone2[row] &lt;= numCategories +3, budgetMilestone2[row]-1, MOD(budgetMilestone2[row]-1,numCategories+3) + IF(MOD(budgetMilestone2[row]-2,numCategories+2)&gt;numCategories+1, 1,0))</f>
        <v>7</v>
      </c>
      <c r="R113" s="60">
        <f>IFERROR(INDEX(directors[Last],MAX(1,FLOOR((budgetMilestone2[row]-1)/(numCategories+3)+1,1))),1)</f>
        <v>0</v>
      </c>
    </row>
    <row r="114" spans="1:18" ht="15" customHeight="1" x14ac:dyDescent="0.25">
      <c r="A114" s="105" t="str">
        <f ca="1"/>
        <v>Co-financing of personnel</v>
      </c>
      <c r="B114" s="105">
        <f ca="1"/>
        <v>0</v>
      </c>
      <c r="C114" s="105">
        <f ca="1"/>
        <v>0</v>
      </c>
      <c r="D114" s="105">
        <f ca="1"/>
        <v>0</v>
      </c>
      <c r="E114" s="105">
        <f ca="1"/>
        <v>0</v>
      </c>
      <c r="F114" s="105">
        <f ca="1"/>
        <v>0</v>
      </c>
      <c r="G114" s="105">
        <f ca="1"/>
        <v>0</v>
      </c>
      <c r="H114" s="60"/>
      <c r="I114"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Co-financing of personnel</v>
      </c>
      <c r="J114" s="60">
        <f>budgetMilestone1[[#This Row],[Milestone 1]]</f>
        <v>0</v>
      </c>
      <c r="K114" s="60">
        <f>SUMIFS(ARF[Amount in Euro], ARF[Co Director],budgetMilestone2[director], ARF[Category], budgetMilestone2[Category], ARF[Date], "&gt;" &amp; cleanDateMilestone1,ARF[Date], "&lt;=" &amp; cleanDateMilestone2)</f>
        <v>0</v>
      </c>
      <c r="L114" s="85">
        <f ca="1">'Milestone 2'!$D114</f>
        <v>0</v>
      </c>
      <c r="M114" s="85">
        <f ca="1">'Milestone 2'!$E114</f>
        <v>0</v>
      </c>
      <c r="N114" s="85">
        <f ca="1">'Milestone 2'!$F114</f>
        <v>0</v>
      </c>
      <c r="O114" s="60">
        <f ca="1">SUM(budgetMilestone2[[#This Row],[Milestone 1]:[Final]])</f>
        <v>0</v>
      </c>
      <c r="P114" s="60">
        <f>ROW()-ROW(budgetMilestone2[#Headers])</f>
        <v>97</v>
      </c>
      <c r="Q114" s="60">
        <f>IF(budgetMilestone2[row] &lt;= numCategories +3, budgetMilestone2[row]-1, MOD(budgetMilestone2[row]-1,numCategories+3) + IF(MOD(budgetMilestone2[row]-2,numCategories+2)&gt;numCategories+1, 1,0))</f>
        <v>8</v>
      </c>
      <c r="R114" s="60">
        <f>IFERROR(INDEX(directors[Last],MAX(1,FLOOR((budgetMilestone2[row]-1)/(numCategories+3)+1,1))),1)</f>
        <v>0</v>
      </c>
    </row>
    <row r="115" spans="1:18" ht="15" customHeight="1" x14ac:dyDescent="0.25">
      <c r="A115" s="105" t="str">
        <f ca="1"/>
        <v>Subtotal 0</v>
      </c>
      <c r="B115" s="105">
        <f ca="1"/>
        <v>0</v>
      </c>
      <c r="C115" s="105">
        <f ca="1"/>
        <v>0</v>
      </c>
      <c r="D115" s="105">
        <f ca="1"/>
        <v>0</v>
      </c>
      <c r="E115" s="105">
        <f ca="1"/>
        <v>0</v>
      </c>
      <c r="F115" s="105">
        <f ca="1"/>
        <v>0</v>
      </c>
      <c r="G115" s="105">
        <f ca="1"/>
        <v>0</v>
      </c>
      <c r="H115" s="60"/>
      <c r="I115"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Subtotal 0</v>
      </c>
      <c r="J115" s="60">
        <f>budgetMilestone1[[#This Row],[Milestone 1]]</f>
        <v>0</v>
      </c>
      <c r="K115" s="60">
        <f t="shared" ref="K115:O115" si="6">SUBTOTAL(9,K107:K114)</f>
        <v>0</v>
      </c>
      <c r="L115" s="60">
        <f t="shared" ca="1" si="6"/>
        <v>0</v>
      </c>
      <c r="M115" s="60">
        <f t="shared" ca="1" si="6"/>
        <v>0</v>
      </c>
      <c r="N115" s="60">
        <f t="shared" ca="1" si="6"/>
        <v>0</v>
      </c>
      <c r="O115" s="60">
        <f t="shared" ca="1" si="6"/>
        <v>0</v>
      </c>
      <c r="P115" s="61">
        <f>ROW()-ROW(budgetMilestone2[#Headers])</f>
        <v>98</v>
      </c>
      <c r="Q115" s="61">
        <f>IF(budgetMilestone2[row] &lt;= numCategories +3, budgetMilestone2[row]-1, MOD(budgetMilestone2[row]-1,numCategories+3) + IF(MOD(budgetMilestone2[row]-2,numCategories+2)&gt;numCategories+1, 1,0))</f>
        <v>9</v>
      </c>
      <c r="R115" s="60">
        <f>IFERROR(INDEX(directors[Last],MAX(1,FLOOR((budgetMilestone2[row]-1)/(numCategories+3)+1,1))),1)</f>
        <v>0</v>
      </c>
    </row>
    <row r="116" spans="1:18" ht="15" customHeight="1" x14ac:dyDescent="0.25">
      <c r="A116" s="105" t="str">
        <f ca="1"/>
        <v/>
      </c>
      <c r="B116" s="105">
        <f ca="1"/>
        <v>0</v>
      </c>
      <c r="C116" s="105">
        <f ca="1"/>
        <v>0</v>
      </c>
      <c r="D116" s="105">
        <f ca="1"/>
        <v>0</v>
      </c>
      <c r="E116" s="105">
        <f ca="1"/>
        <v>0</v>
      </c>
      <c r="F116" s="105">
        <f ca="1"/>
        <v>0</v>
      </c>
      <c r="G116" s="105">
        <f ca="1"/>
        <v>0</v>
      </c>
      <c r="H116" s="60"/>
      <c r="I116"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c>
      <c r="J116" s="60">
        <f>budgetMilestone1[[#This Row],[Milestone 1]]</f>
        <v>0</v>
      </c>
      <c r="K116" s="60"/>
      <c r="L116" s="85"/>
      <c r="M116" s="85"/>
      <c r="N116" s="85"/>
      <c r="O116" s="60"/>
      <c r="P116" s="61">
        <f>ROW()-ROW(budgetMilestone2[#Headers])</f>
        <v>99</v>
      </c>
      <c r="Q116" s="61">
        <f>IF(budgetMilestone2[row] &lt;= numCategories +3, budgetMilestone2[row]-1, MOD(budgetMilestone2[row]-1,numCategories+3) + IF(MOD(budgetMilestone2[row]-2,numCategories+2)&gt;numCategories+1, 1,0))</f>
        <v>10</v>
      </c>
      <c r="R116" s="60">
        <f>IFERROR(INDEX(directors[Last],MAX(1,FLOOR((budgetMilestone2[row]-1)/(numCategories+3)+1,1))),1)</f>
        <v>0</v>
      </c>
    </row>
    <row r="117" spans="1:18" ht="15" customHeight="1" x14ac:dyDescent="0.25">
      <c r="A117" s="119" t="str">
        <f ca="1"/>
        <v xml:space="preserve">0 / </v>
      </c>
      <c r="B117" s="119">
        <f ca="1"/>
        <v>0</v>
      </c>
      <c r="C117" s="119">
        <f ca="1"/>
        <v>0</v>
      </c>
      <c r="D117" s="119">
        <f ca="1"/>
        <v>0</v>
      </c>
      <c r="E117" s="119">
        <f ca="1"/>
        <v>0</v>
      </c>
      <c r="F117" s="119">
        <f ca="1"/>
        <v>0</v>
      </c>
      <c r="G117" s="119">
        <f ca="1"/>
        <v>0</v>
      </c>
      <c r="H117" s="60"/>
      <c r="I117"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 xml:space="preserve">0 / </v>
      </c>
      <c r="J117" s="60">
        <f>budgetMilestone1[[#This Row],[Milestone 1]]</f>
        <v>0</v>
      </c>
      <c r="K117" s="60"/>
      <c r="L117" s="60"/>
      <c r="M117" s="60"/>
      <c r="N117" s="60"/>
      <c r="O117" s="60">
        <f>SUM(budgetMilestone2[[#This Row],[Milestone 1]:[Final]])</f>
        <v>0</v>
      </c>
      <c r="P117" s="61">
        <f>ROW()-ROW(budgetMilestone2[#Headers])</f>
        <v>100</v>
      </c>
      <c r="Q117" s="61">
        <f>IF(budgetMilestone2[row] &lt;= numCategories +3, budgetMilestone2[row]-1, MOD(budgetMilestone2[row]-1,numCategories+3) + IF(MOD(budgetMilestone2[row]-2,numCategories+2)&gt;numCategories+1, 1,0))</f>
        <v>0</v>
      </c>
      <c r="R117" s="60">
        <f>IFERROR(INDEX(directors[Last],MAX(1,FLOOR((budgetMilestone2[row]-1)/(numCategories+3)+1,1))),1)</f>
        <v>0</v>
      </c>
    </row>
    <row r="118" spans="1:18" x14ac:dyDescent="0.25">
      <c r="A118" s="119" t="str">
        <f ca="1"/>
        <v>Equipment</v>
      </c>
      <c r="B118" s="119">
        <f ca="1"/>
        <v>0</v>
      </c>
      <c r="C118" s="119">
        <f ca="1"/>
        <v>0</v>
      </c>
      <c r="D118" s="119">
        <f ca="1"/>
        <v>0</v>
      </c>
      <c r="E118" s="119">
        <f ca="1"/>
        <v>0</v>
      </c>
      <c r="F118" s="119">
        <f ca="1"/>
        <v>0</v>
      </c>
      <c r="G118" s="119">
        <f ca="1"/>
        <v>0</v>
      </c>
      <c r="H118" s="60"/>
      <c r="I118"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Equipment</v>
      </c>
      <c r="J118" s="60">
        <f>budgetMilestone1[[#This Row],[Milestone 1]]</f>
        <v>0</v>
      </c>
      <c r="K118" s="60">
        <f>SUMIFS(ARF[Amount in Euro], ARF[Co Director],budgetMilestone2[director], ARF[Category], budgetMilestone2[Category], ARF[Date], "&gt;" &amp; cleanDateMilestone1,ARF[Date], "&lt;=" &amp; cleanDateMilestone2)</f>
        <v>0</v>
      </c>
      <c r="L118" s="85">
        <f ca="1">'Milestone 2'!$D118</f>
        <v>0</v>
      </c>
      <c r="M118" s="85">
        <f ca="1">'Milestone 2'!$E118</f>
        <v>0</v>
      </c>
      <c r="N118" s="85">
        <f ca="1">'Milestone 2'!$F118</f>
        <v>0</v>
      </c>
      <c r="O118" s="60">
        <f ca="1">SUM(budgetMilestone2[[#This Row],[Milestone 1]:[Final]])</f>
        <v>0</v>
      </c>
      <c r="P118" s="179">
        <f>ROW()-ROW(budgetMilestone2[#Headers])</f>
        <v>101</v>
      </c>
      <c r="Q118" s="179">
        <f>IF(budgetMilestone2[row] &lt;= numCategories +3, budgetMilestone2[row]-1, MOD(budgetMilestone2[row]-1,numCategories+3) + IF(MOD(budgetMilestone2[row]-2,numCategories+2)&gt;numCategories+1, 1,0))</f>
        <v>1</v>
      </c>
      <c r="R118" s="60">
        <f>IFERROR(INDEX(directors[Last],MAX(1,FLOOR((budgetMilestone2[row]-1)/(numCategories+3)+1,1))),1)</f>
        <v>0</v>
      </c>
    </row>
    <row r="119" spans="1:18" x14ac:dyDescent="0.25">
      <c r="A119" s="119" t="str">
        <f ca="1"/>
        <v>Training</v>
      </c>
      <c r="B119" s="119">
        <f ca="1"/>
        <v>0</v>
      </c>
      <c r="C119" s="119">
        <f ca="1"/>
        <v>0</v>
      </c>
      <c r="D119" s="119">
        <f ca="1"/>
        <v>0</v>
      </c>
      <c r="E119" s="119">
        <f ca="1"/>
        <v>0</v>
      </c>
      <c r="F119" s="119">
        <f ca="1"/>
        <v>0</v>
      </c>
      <c r="G119" s="119">
        <f ca="1"/>
        <v>0</v>
      </c>
      <c r="I119"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Training</v>
      </c>
      <c r="J119" s="60">
        <f>budgetMilestone1[[#This Row],[Milestone 1]]</f>
        <v>0</v>
      </c>
      <c r="K119" s="60">
        <f>SUMIFS(ARF[Amount in Euro], ARF[Co Director],budgetMilestone2[director], ARF[Category], budgetMilestone2[Category], ARF[Date], "&gt;" &amp; cleanDateMilestone1,ARF[Date], "&lt;=" &amp; cleanDateMilestone2)</f>
        <v>0</v>
      </c>
      <c r="L119" s="85">
        <f ca="1">'Milestone 2'!$D119</f>
        <v>0</v>
      </c>
      <c r="M119" s="85">
        <f ca="1">'Milestone 2'!$E119</f>
        <v>0</v>
      </c>
      <c r="N119" s="85">
        <f ca="1">'Milestone 2'!$F119</f>
        <v>0</v>
      </c>
      <c r="O119" s="60">
        <f ca="1">SUM(budgetMilestone2[[#This Row],[Milestone 1]:[Final]])</f>
        <v>0</v>
      </c>
      <c r="P119" s="179">
        <f>ROW()-ROW(budgetMilestone2[#Headers])</f>
        <v>102</v>
      </c>
      <c r="Q119" s="179">
        <f>IF(budgetMilestone2[row] &lt;= numCategories +3, budgetMilestone2[row]-1, MOD(budgetMilestone2[row]-1,numCategories+3) + IF(MOD(budgetMilestone2[row]-2,numCategories+2)&gt;numCategories+1, 1,0))</f>
        <v>2</v>
      </c>
      <c r="R119" s="60">
        <f>IFERROR(INDEX(directors[Last],MAX(1,FLOOR((budgetMilestone2[row]-1)/(numCategories+3)+1,1))),1)</f>
        <v>0</v>
      </c>
    </row>
    <row r="120" spans="1:18" x14ac:dyDescent="0.25">
      <c r="A120" s="119" t="str">
        <f ca="1"/>
        <v>Communication &amp; Publication</v>
      </c>
      <c r="B120" s="119">
        <f ca="1"/>
        <v>0</v>
      </c>
      <c r="C120" s="119">
        <f ca="1"/>
        <v>0</v>
      </c>
      <c r="D120" s="119">
        <f ca="1"/>
        <v>0</v>
      </c>
      <c r="E120" s="119">
        <f ca="1"/>
        <v>0</v>
      </c>
      <c r="F120" s="119">
        <f ca="1"/>
        <v>0</v>
      </c>
      <c r="G120" s="119">
        <f ca="1"/>
        <v>0</v>
      </c>
      <c r="I120"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Communication &amp; Publication</v>
      </c>
      <c r="J120" s="60">
        <f>budgetMilestone1[[#This Row],[Milestone 1]]</f>
        <v>0</v>
      </c>
      <c r="K120" s="60">
        <f>SUMIFS(ARF[Amount in Euro], ARF[Co Director],budgetMilestone2[director], ARF[Category], budgetMilestone2[Category], ARF[Date], "&gt;" &amp; cleanDateMilestone1,ARF[Date], "&lt;=" &amp; cleanDateMilestone2)</f>
        <v>0</v>
      </c>
      <c r="L120" s="85">
        <f ca="1">'Milestone 2'!$D120</f>
        <v>0</v>
      </c>
      <c r="M120" s="85">
        <f ca="1">'Milestone 2'!$E120</f>
        <v>0</v>
      </c>
      <c r="N120" s="85">
        <f ca="1">'Milestone 2'!$F120</f>
        <v>0</v>
      </c>
      <c r="O120" s="60">
        <f ca="1">SUM(budgetMilestone2[[#This Row],[Milestone 1]:[Final]])</f>
        <v>0</v>
      </c>
      <c r="P120" s="179">
        <f>ROW()-ROW(budgetMilestone2[#Headers])</f>
        <v>103</v>
      </c>
      <c r="Q120" s="179">
        <f>IF(budgetMilestone2[row] &lt;= numCategories +3, budgetMilestone2[row]-1, MOD(budgetMilestone2[row]-1,numCategories+3) + IF(MOD(budgetMilestone2[row]-2,numCategories+2)&gt;numCategories+1, 1,0))</f>
        <v>3</v>
      </c>
      <c r="R120" s="60">
        <f>IFERROR(INDEX(directors[Last],MAX(1,FLOOR((budgetMilestone2[row]-1)/(numCategories+3)+1,1))),1)</f>
        <v>0</v>
      </c>
    </row>
    <row r="121" spans="1:18" x14ac:dyDescent="0.25">
      <c r="A121" s="119" t="str">
        <f ca="1"/>
        <v>Travel</v>
      </c>
      <c r="B121" s="119">
        <f ca="1"/>
        <v>0</v>
      </c>
      <c r="C121" s="119">
        <f ca="1"/>
        <v>0</v>
      </c>
      <c r="D121" s="119">
        <f ca="1"/>
        <v>0</v>
      </c>
      <c r="E121" s="119">
        <f ca="1"/>
        <v>0</v>
      </c>
      <c r="F121" s="119">
        <f ca="1"/>
        <v>0</v>
      </c>
      <c r="G121" s="119">
        <f ca="1"/>
        <v>0</v>
      </c>
      <c r="I121"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Travel</v>
      </c>
      <c r="J121" s="60">
        <f>budgetMilestone1[[#This Row],[Milestone 1]]</f>
        <v>0</v>
      </c>
      <c r="K121" s="60">
        <f>SUMIFS(ARF[Amount in Euro], ARF[Co Director],budgetMilestone2[director], ARF[Category], budgetMilestone2[Category], ARF[Date], "&gt;" &amp; cleanDateMilestone1,ARF[Date], "&lt;=" &amp; cleanDateMilestone2)</f>
        <v>0</v>
      </c>
      <c r="L121" s="85">
        <f ca="1">'Milestone 2'!$D121</f>
        <v>0</v>
      </c>
      <c r="M121" s="85">
        <f ca="1">'Milestone 2'!$E121</f>
        <v>0</v>
      </c>
      <c r="N121" s="85">
        <f ca="1">'Milestone 2'!$F121</f>
        <v>0</v>
      </c>
      <c r="O121" s="60">
        <f ca="1">SUM(budgetMilestone2[[#This Row],[Milestone 1]:[Final]])</f>
        <v>0</v>
      </c>
      <c r="P121" s="179">
        <f>ROW()-ROW(budgetMilestone2[#Headers])</f>
        <v>104</v>
      </c>
      <c r="Q121" s="179">
        <f>IF(budgetMilestone2[row] &lt;= numCategories +3, budgetMilestone2[row]-1, MOD(budgetMilestone2[row]-1,numCategories+3) + IF(MOD(budgetMilestone2[row]-2,numCategories+2)&gt;numCategories+1, 1,0))</f>
        <v>4</v>
      </c>
      <c r="R121" s="60">
        <f>IFERROR(INDEX(directors[Last],MAX(1,FLOOR((budgetMilestone2[row]-1)/(numCategories+3)+1,1))),1)</f>
        <v>0</v>
      </c>
    </row>
    <row r="122" spans="1:18" x14ac:dyDescent="0.25">
      <c r="A122" s="119" t="str">
        <f ca="1"/>
        <v>Consumables</v>
      </c>
      <c r="B122" s="119">
        <f ca="1"/>
        <v>0</v>
      </c>
      <c r="C122" s="119">
        <f ca="1"/>
        <v>0</v>
      </c>
      <c r="D122" s="119">
        <f ca="1"/>
        <v>0</v>
      </c>
      <c r="E122" s="119">
        <f ca="1"/>
        <v>0</v>
      </c>
      <c r="F122" s="119">
        <f ca="1"/>
        <v>0</v>
      </c>
      <c r="G122" s="119">
        <f ca="1"/>
        <v>0</v>
      </c>
      <c r="I122"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Consumables</v>
      </c>
      <c r="J122" s="60">
        <f>budgetMilestone1[[#This Row],[Milestone 1]]</f>
        <v>0</v>
      </c>
      <c r="K122" s="60">
        <f>SUMIFS(ARF[Amount in Euro], ARF[Co Director],budgetMilestone2[director], ARF[Category], budgetMilestone2[Category], ARF[Date], "&gt;" &amp; cleanDateMilestone1,ARF[Date], "&lt;=" &amp; cleanDateMilestone2)</f>
        <v>0</v>
      </c>
      <c r="L122" s="85">
        <f ca="1">'Milestone 2'!$D122</f>
        <v>0</v>
      </c>
      <c r="M122" s="85">
        <f ca="1">'Milestone 2'!$E122</f>
        <v>0</v>
      </c>
      <c r="N122" s="85">
        <f ca="1">'Milestone 2'!$F122</f>
        <v>0</v>
      </c>
      <c r="O122" s="60">
        <f ca="1">SUM(budgetMilestone2[[#This Row],[Milestone 1]:[Final]])</f>
        <v>0</v>
      </c>
      <c r="P122" s="179">
        <f>ROW()-ROW(budgetMilestone2[#Headers])</f>
        <v>105</v>
      </c>
      <c r="Q122" s="179">
        <f>IF(budgetMilestone2[row] &lt;= numCategories +3, budgetMilestone2[row]-1, MOD(budgetMilestone2[row]-1,numCategories+3) + IF(MOD(budgetMilestone2[row]-2,numCategories+2)&gt;numCategories+1, 1,0))</f>
        <v>5</v>
      </c>
      <c r="R122" s="60">
        <f>IFERROR(INDEX(directors[Last],MAX(1,FLOOR((budgetMilestone2[row]-1)/(numCategories+3)+1,1))),1)</f>
        <v>0</v>
      </c>
    </row>
    <row r="123" spans="1:18" x14ac:dyDescent="0.25">
      <c r="A123" s="119" t="str">
        <f ca="1"/>
        <v>Other</v>
      </c>
      <c r="B123" s="119">
        <f ca="1"/>
        <v>0</v>
      </c>
      <c r="C123" s="119">
        <f ca="1"/>
        <v>0</v>
      </c>
      <c r="D123" s="119">
        <f ca="1"/>
        <v>0</v>
      </c>
      <c r="E123" s="119">
        <f ca="1"/>
        <v>0</v>
      </c>
      <c r="F123" s="119">
        <f ca="1"/>
        <v>0</v>
      </c>
      <c r="G123" s="119">
        <f ca="1"/>
        <v>0</v>
      </c>
      <c r="I123"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Other</v>
      </c>
      <c r="J123" s="60">
        <f>budgetMilestone1[[#This Row],[Milestone 1]]</f>
        <v>0</v>
      </c>
      <c r="K123" s="60">
        <f>SUMIFS(ARF[Amount in Euro], ARF[Co Director],budgetMilestone2[director], ARF[Category], budgetMilestone2[Category], ARF[Date], "&gt;" &amp; cleanDateMilestone1,ARF[Date], "&lt;=" &amp; cleanDateMilestone2)</f>
        <v>0</v>
      </c>
      <c r="L123" s="85">
        <f ca="1">'Milestone 2'!$D123</f>
        <v>0</v>
      </c>
      <c r="M123" s="85">
        <f ca="1">'Milestone 2'!$E123</f>
        <v>0</v>
      </c>
      <c r="N123" s="85">
        <f ca="1">'Milestone 2'!$F123</f>
        <v>0</v>
      </c>
      <c r="O123" s="60">
        <f ca="1">SUM(budgetMilestone2[[#This Row],[Milestone 1]:[Final]])</f>
        <v>0</v>
      </c>
      <c r="P123" s="179">
        <f>ROW()-ROW(budgetMilestone2[#Headers])</f>
        <v>106</v>
      </c>
      <c r="Q123" s="179">
        <f>IF(budgetMilestone2[row] &lt;= numCategories +3, budgetMilestone2[row]-1, MOD(budgetMilestone2[row]-1,numCategories+3) + IF(MOD(budgetMilestone2[row]-2,numCategories+2)&gt;numCategories+1, 1,0))</f>
        <v>6</v>
      </c>
      <c r="R123" s="60">
        <f>IFERROR(INDEX(directors[Last],MAX(1,FLOOR((budgetMilestone2[row]-1)/(numCategories+3)+1,1))),1)</f>
        <v>0</v>
      </c>
    </row>
    <row r="124" spans="1:18" x14ac:dyDescent="0.25">
      <c r="A124" s="119" t="str">
        <f ca="1"/>
        <v>Stipends</v>
      </c>
      <c r="B124" s="119">
        <f ca="1"/>
        <v>0</v>
      </c>
      <c r="C124" s="119">
        <f ca="1"/>
        <v>0</v>
      </c>
      <c r="D124" s="119">
        <f ca="1"/>
        <v>0</v>
      </c>
      <c r="E124" s="119">
        <f ca="1"/>
        <v>0</v>
      </c>
      <c r="F124" s="119">
        <f ca="1"/>
        <v>0</v>
      </c>
      <c r="G124" s="119">
        <f ca="1"/>
        <v>0</v>
      </c>
      <c r="I124"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Stipends</v>
      </c>
      <c r="J124" s="60">
        <f>budgetMilestone1[[#This Row],[Milestone 1]]</f>
        <v>0</v>
      </c>
      <c r="K124" s="60">
        <f>SUMIFS(ARF[Amount in Euro], ARF[Co Director],budgetMilestone2[director], ARF[Category], budgetMilestone2[Category], ARF[Date], "&gt;" &amp; cleanDateMilestone1,ARF[Date], "&lt;=" &amp; cleanDateMilestone2)</f>
        <v>0</v>
      </c>
      <c r="L124" s="85">
        <f ca="1">'Milestone 2'!$D124</f>
        <v>0</v>
      </c>
      <c r="M124" s="85">
        <f ca="1">'Milestone 2'!$E124</f>
        <v>0</v>
      </c>
      <c r="N124" s="85">
        <f ca="1">'Milestone 2'!$F124</f>
        <v>0</v>
      </c>
      <c r="O124" s="60">
        <f ca="1">SUM(budgetMilestone2[[#This Row],[Milestone 1]:[Final]])</f>
        <v>0</v>
      </c>
      <c r="P124" s="179">
        <f>ROW()-ROW(budgetMilestone2[#Headers])</f>
        <v>107</v>
      </c>
      <c r="Q124" s="179">
        <f>IF(budgetMilestone2[row] &lt;= numCategories +3, budgetMilestone2[row]-1, MOD(budgetMilestone2[row]-1,numCategories+3) + IF(MOD(budgetMilestone2[row]-2,numCategories+2)&gt;numCategories+1, 1,0))</f>
        <v>7</v>
      </c>
      <c r="R124" s="60">
        <f>IFERROR(INDEX(directors[Last],MAX(1,FLOOR((budgetMilestone2[row]-1)/(numCategories+3)+1,1))),1)</f>
        <v>0</v>
      </c>
    </row>
    <row r="125" spans="1:18" x14ac:dyDescent="0.25">
      <c r="A125" s="119" t="str">
        <f ca="1"/>
        <v>Co-financing of personnel</v>
      </c>
      <c r="B125" s="119">
        <f ca="1"/>
        <v>0</v>
      </c>
      <c r="C125" s="119">
        <f ca="1"/>
        <v>0</v>
      </c>
      <c r="D125" s="119">
        <f ca="1"/>
        <v>0</v>
      </c>
      <c r="E125" s="119">
        <f ca="1"/>
        <v>0</v>
      </c>
      <c r="F125" s="119">
        <f ca="1"/>
        <v>0</v>
      </c>
      <c r="G125" s="119">
        <f ca="1"/>
        <v>0</v>
      </c>
      <c r="I125"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Co-financing of personnel</v>
      </c>
      <c r="J125" s="60">
        <f>budgetMilestone1[[#This Row],[Milestone 1]]</f>
        <v>0</v>
      </c>
      <c r="K125" s="60">
        <f>SUMIFS(ARF[Amount in Euro], ARF[Co Director],budgetMilestone2[director], ARF[Category], budgetMilestone2[Category], ARF[Date], "&gt;" &amp; cleanDateMilestone1,ARF[Date], "&lt;=" &amp; cleanDateMilestone2)</f>
        <v>0</v>
      </c>
      <c r="L125" s="85">
        <f ca="1">'Milestone 2'!$D125</f>
        <v>0</v>
      </c>
      <c r="M125" s="85">
        <f ca="1">'Milestone 2'!$E125</f>
        <v>0</v>
      </c>
      <c r="N125" s="85">
        <f ca="1">'Milestone 2'!$F125</f>
        <v>0</v>
      </c>
      <c r="O125" s="60">
        <f ca="1">SUM(budgetMilestone2[[#This Row],[Milestone 1]:[Final]])</f>
        <v>0</v>
      </c>
      <c r="P125" s="179">
        <f>ROW()-ROW(budgetMilestone2[#Headers])</f>
        <v>108</v>
      </c>
      <c r="Q125" s="179">
        <f>IF(budgetMilestone2[row] &lt;= numCategories +3, budgetMilestone2[row]-1, MOD(budgetMilestone2[row]-1,numCategories+3) + IF(MOD(budgetMilestone2[row]-2,numCategories+2)&gt;numCategories+1, 1,0))</f>
        <v>8</v>
      </c>
      <c r="R125" s="60">
        <f>IFERROR(INDEX(directors[Last],MAX(1,FLOOR((budgetMilestone2[row]-1)/(numCategories+3)+1,1))),1)</f>
        <v>0</v>
      </c>
    </row>
    <row r="126" spans="1:18" x14ac:dyDescent="0.25">
      <c r="A126" s="119" t="str">
        <f ca="1"/>
        <v>Subtotal 0</v>
      </c>
      <c r="B126" s="119">
        <f ca="1"/>
        <v>0</v>
      </c>
      <c r="C126" s="119">
        <f ca="1"/>
        <v>0</v>
      </c>
      <c r="D126" s="119">
        <f ca="1"/>
        <v>0</v>
      </c>
      <c r="E126" s="119">
        <f ca="1"/>
        <v>0</v>
      </c>
      <c r="F126" s="119">
        <f ca="1"/>
        <v>0</v>
      </c>
      <c r="G126" s="119">
        <f ca="1"/>
        <v>0</v>
      </c>
      <c r="I126" s="60" t="str">
        <f>IF(budgetMilestone2[catIndex]=0, budgetMilestone2[director] &amp; " / " &amp; INDEX(directors[Country],MAX(1,FLOOR((budgetMilestone2[row]-2)/(numCategories+2)+1,1))), IF(budgetMilestone2[catIndex]= numCategories + 1, "Subtotal " &amp; budgetMilestone2[director], IF(budgetMilestone2[catIndex] = numCategories + 2, "", IFERROR(INDEX(categories[],budgetMilestone2[catIndex]), ""))))</f>
        <v>Subtotal 0</v>
      </c>
      <c r="J126" s="60">
        <f>budgetMilestone1[[#This Row],[Milestone 1]]</f>
        <v>0</v>
      </c>
      <c r="K126" s="60">
        <f t="shared" si="5"/>
        <v>0</v>
      </c>
      <c r="L126" s="60">
        <f t="shared" ca="1" si="5"/>
        <v>0</v>
      </c>
      <c r="M126" s="60">
        <f t="shared" ca="1" si="5"/>
        <v>0</v>
      </c>
      <c r="N126" s="60">
        <f t="shared" ca="1" si="5"/>
        <v>0</v>
      </c>
      <c r="O126" s="60">
        <f t="shared" ca="1" si="5"/>
        <v>0</v>
      </c>
      <c r="P126" s="179">
        <f>ROW()-ROW(budgetMilestone2[#Headers])</f>
        <v>109</v>
      </c>
      <c r="Q126" s="179">
        <f>IF(budgetMilestone2[row] &lt;= numCategories +3, budgetMilestone2[row]-1, MOD(budgetMilestone2[row]-1,numCategories+3) + IF(MOD(budgetMilestone2[row]-2,numCategories+2)&gt;numCategories+1, 1,0))</f>
        <v>9</v>
      </c>
      <c r="R126" s="60">
        <f>IFERROR(INDEX(directors[Last],MAX(1,FLOOR((budgetMilestone2[row]-1)/(numCategories+3)+1,1))),1)</f>
        <v>0</v>
      </c>
    </row>
    <row r="127" spans="1:18" x14ac:dyDescent="0.25">
      <c r="O127" s="60"/>
    </row>
  </sheetData>
  <sheetProtection sheet="1" selectLockedCells="1"/>
  <mergeCells count="10">
    <mergeCell ref="A4:G4"/>
    <mergeCell ref="I4:O4"/>
    <mergeCell ref="A1:B1"/>
    <mergeCell ref="D1:G1"/>
    <mergeCell ref="I1:K1"/>
    <mergeCell ref="L1:M1"/>
    <mergeCell ref="A2:B2"/>
    <mergeCell ref="D2:G2"/>
    <mergeCell ref="I2:K2"/>
    <mergeCell ref="L2:M2"/>
  </mergeCells>
  <conditionalFormatting sqref="A18:G126 I18:R116 P117:R126 I117:N125 I126:K126">
    <cfRule type="expression" dxfId="252" priority="13" stopIfTrue="1">
      <formula>$Q18=10</formula>
    </cfRule>
    <cfRule type="expression" dxfId="251" priority="15">
      <formula>AND(CELL("Protect",A18)=0,ISODD(CELL("Row",A18)))</formula>
    </cfRule>
    <cfRule type="expression" dxfId="250" priority="16">
      <formula>AND(CELL("Protect",A18)=0,ISEVEN(CELL("Row",A18)))</formula>
    </cfRule>
    <cfRule type="expression" dxfId="249" priority="17" stopIfTrue="1">
      <formula>$Q18=0</formula>
    </cfRule>
    <cfRule type="expression" dxfId="248" priority="18" stopIfTrue="1">
      <formula>ISNUMBER(SEARCH("Subtotal",$I18))</formula>
    </cfRule>
  </conditionalFormatting>
  <conditionalFormatting sqref="A7:G14 A18:G126">
    <cfRule type="expression" dxfId="247" priority="19">
      <formula>ISODD(CELL("row",A7))</formula>
    </cfRule>
    <cfRule type="expression" dxfId="246" priority="20">
      <formula>ISEVEN(CELL("row",A7))</formula>
    </cfRule>
  </conditionalFormatting>
  <conditionalFormatting sqref="R118:R126 A39:G126 I39:R116 I115:I126 J116:N125 P117:R117 I117:N117 J126:K126">
    <cfRule type="expression" dxfId="245" priority="14" stopIfTrue="1">
      <formula>LEN($R39)&lt;=3</formula>
    </cfRule>
  </conditionalFormatting>
  <conditionalFormatting sqref="O117:O125 O127">
    <cfRule type="expression" dxfId="244" priority="7" stopIfTrue="1">
      <formula>$Q117=10</formula>
    </cfRule>
    <cfRule type="expression" dxfId="243" priority="9">
      <formula>AND(CELL("Protect",O117)=0,ISODD(CELL("Row",O117)))</formula>
    </cfRule>
    <cfRule type="expression" dxfId="242" priority="10">
      <formula>AND(CELL("Protect",O117)=0,ISEVEN(CELL("Row",O117)))</formula>
    </cfRule>
    <cfRule type="expression" dxfId="241" priority="11" stopIfTrue="1">
      <formula>$Q117=0</formula>
    </cfRule>
    <cfRule type="expression" dxfId="240" priority="12" stopIfTrue="1">
      <formula>ISNUMBER(SEARCH("Subtotal",$I117))</formula>
    </cfRule>
  </conditionalFormatting>
  <conditionalFormatting sqref="O117:O125 O127">
    <cfRule type="expression" dxfId="239" priority="8" stopIfTrue="1">
      <formula>LEN($R117)&lt;=3</formula>
    </cfRule>
  </conditionalFormatting>
  <conditionalFormatting sqref="L126:O126">
    <cfRule type="expression" dxfId="238" priority="1" stopIfTrue="1">
      <formula>$Q126=10</formula>
    </cfRule>
    <cfRule type="expression" dxfId="237" priority="3">
      <formula>AND(CELL("Protect",L126)=0,ISODD(CELL("Row",L126)))</formula>
    </cfRule>
    <cfRule type="expression" dxfId="236" priority="4">
      <formula>AND(CELL("Protect",L126)=0,ISEVEN(CELL("Row",L126)))</formula>
    </cfRule>
    <cfRule type="expression" dxfId="235" priority="5" stopIfTrue="1">
      <formula>$Q126=0</formula>
    </cfRule>
    <cfRule type="expression" dxfId="234" priority="6" stopIfTrue="1">
      <formula>ISNUMBER(SEARCH("Subtotal",$I126))</formula>
    </cfRule>
  </conditionalFormatting>
  <conditionalFormatting sqref="L126:O126">
    <cfRule type="expression" dxfId="233" priority="2" stopIfTrue="1">
      <formula>LEN($R126)&lt;=3</formula>
    </cfRule>
  </conditionalFormatting>
  <dataValidations count="1">
    <dataValidation type="decimal" operator="greaterThanOrEqual" allowBlank="1" showInputMessage="1" showErrorMessage="1" errorTitle="Numbers only" error="Please enter numbers only." sqref="L19:N26 L28:N37 L39:N48 L105:N114 L50:N59 L72:N81 L94:N103 L116:N125 L61:N70 L83:N92">
      <formula1>0</formula1>
    </dataValidation>
  </dataValidations>
  <pageMargins left="0.7" right="0.7" top="0.75" bottom="0.75" header="0.3" footer="0.3"/>
  <pageSetup paperSize="9" orientation="portrait"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7"/>
  <sheetViews>
    <sheetView showZeros="0" zoomScaleNormal="100" workbookViewId="0">
      <selection activeCell="M20" sqref="M20"/>
    </sheetView>
  </sheetViews>
  <sheetFormatPr defaultRowHeight="15" x14ac:dyDescent="0.25"/>
  <cols>
    <col min="1" max="1" width="29.5703125" customWidth="1"/>
    <col min="2" max="7" width="9.85546875" customWidth="1"/>
    <col min="8" max="8" width="1.7109375" customWidth="1"/>
    <col min="9" max="9" width="29.5703125" customWidth="1"/>
    <col min="10" max="15" width="9.85546875" customWidth="1"/>
    <col min="16" max="18" width="13.5703125" hidden="1" customWidth="1"/>
    <col min="19" max="19" width="1.7109375" customWidth="1"/>
  </cols>
  <sheetData>
    <row r="1" spans="1:18" ht="26.25" thickBot="1" x14ac:dyDescent="0.3">
      <c r="A1" s="182" t="s">
        <v>387</v>
      </c>
      <c r="B1" s="183"/>
      <c r="C1" s="73" t="s">
        <v>447</v>
      </c>
      <c r="D1" s="191" t="s">
        <v>400</v>
      </c>
      <c r="E1" s="192"/>
      <c r="F1" s="192"/>
      <c r="G1" s="192"/>
      <c r="H1" s="74"/>
      <c r="I1" s="182" t="s">
        <v>473</v>
      </c>
      <c r="J1" s="182"/>
      <c r="K1" s="183"/>
      <c r="L1" s="207" t="s">
        <v>387</v>
      </c>
      <c r="M1" s="207"/>
      <c r="N1" s="73" t="s">
        <v>447</v>
      </c>
      <c r="O1" s="146" t="s">
        <v>495</v>
      </c>
      <c r="P1" s="60"/>
      <c r="Q1" s="60"/>
      <c r="R1" s="60"/>
    </row>
    <row r="2" spans="1:18" ht="26.25" customHeight="1" x14ac:dyDescent="0.25">
      <c r="A2" s="187">
        <f>spsRefNo</f>
        <v>0</v>
      </c>
      <c r="B2" s="188"/>
      <c r="C2" s="75">
        <f>approvedBudget</f>
        <v>0</v>
      </c>
      <c r="D2" s="189">
        <f>projectTitle</f>
        <v>0</v>
      </c>
      <c r="E2" s="190"/>
      <c r="F2" s="190"/>
      <c r="G2" s="190"/>
      <c r="H2" s="60"/>
      <c r="I2" s="193">
        <f>shortTitle</f>
        <v>0</v>
      </c>
      <c r="J2" s="193"/>
      <c r="K2" s="194"/>
      <c r="L2" s="208">
        <f>spsRefNo</f>
        <v>0</v>
      </c>
      <c r="M2" s="208"/>
      <c r="N2" s="75">
        <f>approvedBudget</f>
        <v>0</v>
      </c>
      <c r="O2" s="75">
        <f ca="1">(1.1*budgetMilestone3Overall[[#Totals],[Milestone 4]])-AccountBalance</f>
        <v>0</v>
      </c>
      <c r="P2" s="60"/>
      <c r="Q2" s="60"/>
      <c r="R2" s="60"/>
    </row>
    <row r="4" spans="1:18" ht="26.25" customHeight="1" x14ac:dyDescent="0.25">
      <c r="A4" s="186" t="s">
        <v>476</v>
      </c>
      <c r="B4" s="186"/>
      <c r="C4" s="186"/>
      <c r="D4" s="186"/>
      <c r="E4" s="186"/>
      <c r="F4" s="186"/>
      <c r="G4" s="186"/>
      <c r="H4" s="60"/>
      <c r="I4" s="186" t="s">
        <v>477</v>
      </c>
      <c r="J4" s="186"/>
      <c r="K4" s="186"/>
      <c r="L4" s="186"/>
      <c r="M4" s="186"/>
      <c r="N4" s="186"/>
      <c r="O4" s="186"/>
      <c r="P4" s="60"/>
      <c r="Q4" s="60"/>
      <c r="R4" s="60"/>
    </row>
    <row r="6" spans="1:18" ht="26.25" thickBot="1" x14ac:dyDescent="0.3">
      <c r="A6" s="106" t="str">
        <f t="array" ref="A6:G126" ca="1">OFFSET(budgetMilestone2Overall[[#Headers],[Category]],0,0,121,7)</f>
        <v>Category</v>
      </c>
      <c r="B6" s="106" t="str">
        <f ca="1"/>
        <v>Milestone 1</v>
      </c>
      <c r="C6" s="106" t="str">
        <f ca="1"/>
        <v>Milestone 2</v>
      </c>
      <c r="D6" s="106" t="str">
        <f ca="1"/>
        <v>Milestone 3</v>
      </c>
      <c r="E6" s="106" t="str">
        <f ca="1"/>
        <v>Milestone 4</v>
      </c>
      <c r="F6" s="106" t="str">
        <f ca="1"/>
        <v>Final</v>
      </c>
      <c r="G6" s="107" t="str">
        <f ca="1"/>
        <v>Total</v>
      </c>
      <c r="H6" s="60"/>
      <c r="I6" s="62" t="s">
        <v>395</v>
      </c>
      <c r="J6" s="72" t="s">
        <v>407</v>
      </c>
      <c r="K6" s="72" t="s">
        <v>408</v>
      </c>
      <c r="L6" s="72" t="s">
        <v>409</v>
      </c>
      <c r="M6" s="72" t="s">
        <v>485</v>
      </c>
      <c r="N6" s="62" t="s">
        <v>410</v>
      </c>
      <c r="O6" s="62" t="s">
        <v>403</v>
      </c>
      <c r="P6" s="62"/>
      <c r="Q6" s="62"/>
      <c r="R6" s="62"/>
    </row>
    <row r="7" spans="1:18" ht="15" customHeight="1" thickTop="1" x14ac:dyDescent="0.25">
      <c r="A7" s="108" t="str">
        <f ca="1"/>
        <v>Equipment</v>
      </c>
      <c r="B7" s="108">
        <f ca="1"/>
        <v>0</v>
      </c>
      <c r="C7" s="108">
        <f ca="1"/>
        <v>0</v>
      </c>
      <c r="D7" s="108">
        <f ca="1"/>
        <v>0</v>
      </c>
      <c r="E7" s="108">
        <f ca="1"/>
        <v>0</v>
      </c>
      <c r="F7" s="108">
        <f ca="1"/>
        <v>0</v>
      </c>
      <c r="G7" s="109">
        <f ca="1"/>
        <v>0</v>
      </c>
      <c r="H7" s="60"/>
      <c r="I7" s="60" t="str">
        <f>INDEX(categories[Expense Categories],ROW()-ROW(budgetMilestone3Overall[#Headers]))</f>
        <v>Equipment</v>
      </c>
      <c r="J7" s="60">
        <f>SUMIFS(budgetMilestone3[Milestone 1],budgetMilestone3[Category],budgetMilestone3Overall[[#This Row],[Category]],budgetMilestone3[director], "&lt;&gt;1")</f>
        <v>0</v>
      </c>
      <c r="K7" s="60">
        <f>SUMIFS(budgetMilestone3[Milestone 2],budgetMilestone3[Category],budgetMilestone3Overall[[#This Row],[Category]],budgetMilestone3[director], "&lt;&gt;1")</f>
        <v>0</v>
      </c>
      <c r="L7" s="60">
        <f>SUMIFS(budgetMilestone3[Milestone 3],budgetMilestone3[Category],budgetMilestone3Overall[[#This Row],[Category]],budgetMilestone3[director], "&lt;&gt;1")</f>
        <v>0</v>
      </c>
      <c r="M7" s="60">
        <f ca="1">SUMIFS(budgetMilestone3[Milestone 4],budgetMilestone3[Category],budgetMilestone3Overall[[#This Row],[Category]],budgetMilestone3[director], "&lt;&gt;1")</f>
        <v>0</v>
      </c>
      <c r="N7" s="60">
        <f ca="1">SUMIFS(budgetMilestone3[Final],budgetMilestone3[Category],budgetMilestone3Overall[[#This Row],[Category]],budgetMilestone3[director], "&lt;&gt;1")</f>
        <v>0</v>
      </c>
      <c r="O7" s="60">
        <f ca="1">SUM(budgetMilestone3Overall[[#This Row],[Milestone 1]:[Final]])</f>
        <v>0</v>
      </c>
      <c r="P7" s="60"/>
      <c r="Q7" s="60"/>
      <c r="R7" s="60"/>
    </row>
    <row r="8" spans="1:18" ht="15" customHeight="1" x14ac:dyDescent="0.25">
      <c r="A8" s="110" t="str">
        <f ca="1"/>
        <v>Training</v>
      </c>
      <c r="B8" s="110">
        <f ca="1"/>
        <v>0</v>
      </c>
      <c r="C8" s="110">
        <f ca="1"/>
        <v>0</v>
      </c>
      <c r="D8" s="110">
        <f ca="1"/>
        <v>0</v>
      </c>
      <c r="E8" s="110">
        <f ca="1"/>
        <v>0</v>
      </c>
      <c r="F8" s="110">
        <f ca="1"/>
        <v>0</v>
      </c>
      <c r="G8" s="111">
        <f ca="1"/>
        <v>0</v>
      </c>
      <c r="H8" s="60"/>
      <c r="I8" s="60" t="str">
        <f>INDEX(categories[Expense Categories],ROW()-ROW(budgetMilestone3Overall[#Headers]))</f>
        <v>Training</v>
      </c>
      <c r="J8" s="60">
        <f>SUMIFS(budgetMilestone3[Milestone 1],budgetMilestone3[Category],budgetMilestone3Overall[[#This Row],[Category]],budgetMilestone3[director], "&lt;&gt;1")</f>
        <v>0</v>
      </c>
      <c r="K8" s="60">
        <f>SUMIFS(budgetMilestone3[Milestone 2],budgetMilestone3[Category],budgetMilestone3Overall[[#This Row],[Category]],budgetMilestone3[director], "&lt;&gt;1")</f>
        <v>0</v>
      </c>
      <c r="L8" s="60">
        <f>SUMIFS(budgetMilestone3[Milestone 3],budgetMilestone3[Category],budgetMilestone3Overall[[#This Row],[Category]],budgetMilestone3[director], "&lt;&gt;1")</f>
        <v>0</v>
      </c>
      <c r="M8" s="60">
        <f ca="1">SUMIFS(budgetMilestone3[Milestone 4],budgetMilestone3[Category],budgetMilestone3Overall[[#This Row],[Category]],budgetMilestone3[director], "&lt;&gt;1")</f>
        <v>0</v>
      </c>
      <c r="N8" s="60">
        <f ca="1">SUMIFS(budgetMilestone3[Final],budgetMilestone3[Category],budgetMilestone3Overall[[#This Row],[Category]],budgetMilestone3[director], "&lt;&gt;1")</f>
        <v>0</v>
      </c>
      <c r="O8" s="60">
        <f ca="1">SUM(budgetMilestone3Overall[[#This Row],[Milestone 1]:[Final]])</f>
        <v>0</v>
      </c>
      <c r="P8" s="60"/>
      <c r="Q8" s="60"/>
      <c r="R8" s="60"/>
    </row>
    <row r="9" spans="1:18" ht="15" customHeight="1" x14ac:dyDescent="0.25">
      <c r="A9" s="108" t="str">
        <f ca="1"/>
        <v>Communication &amp; Publication</v>
      </c>
      <c r="B9" s="108">
        <f ca="1"/>
        <v>0</v>
      </c>
      <c r="C9" s="108">
        <f ca="1"/>
        <v>0</v>
      </c>
      <c r="D9" s="108">
        <f ca="1"/>
        <v>0</v>
      </c>
      <c r="E9" s="108">
        <f ca="1"/>
        <v>0</v>
      </c>
      <c r="F9" s="108">
        <f ca="1"/>
        <v>0</v>
      </c>
      <c r="G9" s="109">
        <f ca="1"/>
        <v>0</v>
      </c>
      <c r="H9" s="60"/>
      <c r="I9" s="60" t="str">
        <f>INDEX(categories[Expense Categories],ROW()-ROW(budgetMilestone3Overall[#Headers]))</f>
        <v>Communication &amp; Publication</v>
      </c>
      <c r="J9" s="60">
        <f>SUMIFS(budgetMilestone3[Milestone 1],budgetMilestone3[Category],budgetMilestone3Overall[[#This Row],[Category]],budgetMilestone3[director], "&lt;&gt;1")</f>
        <v>0</v>
      </c>
      <c r="K9" s="60">
        <f>SUMIFS(budgetMilestone3[Milestone 2],budgetMilestone3[Category],budgetMilestone3Overall[[#This Row],[Category]],budgetMilestone3[director], "&lt;&gt;1")</f>
        <v>0</v>
      </c>
      <c r="L9" s="60">
        <f>SUMIFS(budgetMilestone3[Milestone 3],budgetMilestone3[Category],budgetMilestone3Overall[[#This Row],[Category]],budgetMilestone3[director], "&lt;&gt;1")</f>
        <v>0</v>
      </c>
      <c r="M9" s="60">
        <f ca="1">SUMIFS(budgetMilestone3[Milestone 4],budgetMilestone3[Category],budgetMilestone3Overall[[#This Row],[Category]],budgetMilestone3[director], "&lt;&gt;1")</f>
        <v>0</v>
      </c>
      <c r="N9" s="60">
        <f ca="1">SUMIFS(budgetMilestone3[Final],budgetMilestone3[Category],budgetMilestone3Overall[[#This Row],[Category]],budgetMilestone3[director], "&lt;&gt;1")</f>
        <v>0</v>
      </c>
      <c r="O9" s="60">
        <f ca="1">SUM(budgetMilestone3Overall[[#This Row],[Milestone 1]:[Final]])</f>
        <v>0</v>
      </c>
      <c r="P9" s="60"/>
      <c r="Q9" s="60"/>
      <c r="R9" s="60"/>
    </row>
    <row r="10" spans="1:18" ht="15" customHeight="1" x14ac:dyDescent="0.25">
      <c r="A10" s="110" t="str">
        <f ca="1"/>
        <v>Travel</v>
      </c>
      <c r="B10" s="110">
        <f ca="1"/>
        <v>0</v>
      </c>
      <c r="C10" s="110">
        <f ca="1"/>
        <v>0</v>
      </c>
      <c r="D10" s="110">
        <f ca="1"/>
        <v>0</v>
      </c>
      <c r="E10" s="110">
        <f ca="1"/>
        <v>0</v>
      </c>
      <c r="F10" s="110">
        <f ca="1"/>
        <v>0</v>
      </c>
      <c r="G10" s="111">
        <f ca="1"/>
        <v>0</v>
      </c>
      <c r="H10" s="60"/>
      <c r="I10" s="60" t="str">
        <f>INDEX(categories[Expense Categories],ROW()-ROW(budgetMilestone3Overall[#Headers]))</f>
        <v>Travel</v>
      </c>
      <c r="J10" s="60">
        <f>SUMIFS(budgetMilestone3[Milestone 1],budgetMilestone3[Category],budgetMilestone3Overall[[#This Row],[Category]],budgetMilestone3[director], "&lt;&gt;1")</f>
        <v>0</v>
      </c>
      <c r="K10" s="60">
        <f>SUMIFS(budgetMilestone3[Milestone 2],budgetMilestone3[Category],budgetMilestone3Overall[[#This Row],[Category]],budgetMilestone3[director], "&lt;&gt;1")</f>
        <v>0</v>
      </c>
      <c r="L10" s="60">
        <f>SUMIFS(budgetMilestone3[Milestone 3],budgetMilestone3[Category],budgetMilestone3Overall[[#This Row],[Category]],budgetMilestone3[director], "&lt;&gt;1")</f>
        <v>0</v>
      </c>
      <c r="M10" s="60">
        <f ca="1">SUMIFS(budgetMilestone3[Milestone 4],budgetMilestone3[Category],budgetMilestone3Overall[[#This Row],[Category]],budgetMilestone3[director], "&lt;&gt;1")</f>
        <v>0</v>
      </c>
      <c r="N10" s="60">
        <f ca="1">SUMIFS(budgetMilestone3[Final],budgetMilestone3[Category],budgetMilestone3Overall[[#This Row],[Category]],budgetMilestone3[director], "&lt;&gt;1")</f>
        <v>0</v>
      </c>
      <c r="O10" s="60">
        <f ca="1">SUM(budgetMilestone3Overall[[#This Row],[Milestone 1]:[Final]])</f>
        <v>0</v>
      </c>
      <c r="P10" s="60"/>
      <c r="Q10" s="60"/>
      <c r="R10" s="60"/>
    </row>
    <row r="11" spans="1:18" ht="15" customHeight="1" x14ac:dyDescent="0.25">
      <c r="A11" s="108" t="str">
        <f ca="1"/>
        <v>Consumables</v>
      </c>
      <c r="B11" s="108">
        <f ca="1"/>
        <v>0</v>
      </c>
      <c r="C11" s="108">
        <f ca="1"/>
        <v>0</v>
      </c>
      <c r="D11" s="108">
        <f ca="1"/>
        <v>0</v>
      </c>
      <c r="E11" s="108">
        <f ca="1"/>
        <v>0</v>
      </c>
      <c r="F11" s="108">
        <f ca="1"/>
        <v>0</v>
      </c>
      <c r="G11" s="109">
        <f ca="1"/>
        <v>0</v>
      </c>
      <c r="H11" s="60"/>
      <c r="I11" s="60" t="str">
        <f>INDEX(categories[Expense Categories],ROW()-ROW(budgetMilestone3Overall[#Headers]))</f>
        <v>Consumables</v>
      </c>
      <c r="J11" s="60">
        <f>SUMIFS(budgetMilestone3[Milestone 1],budgetMilestone3[Category],budgetMilestone3Overall[[#This Row],[Category]],budgetMilestone3[director], "&lt;&gt;1")</f>
        <v>0</v>
      </c>
      <c r="K11" s="60">
        <f>SUMIFS(budgetMilestone3[Milestone 2],budgetMilestone3[Category],budgetMilestone3Overall[[#This Row],[Category]],budgetMilestone3[director], "&lt;&gt;1")</f>
        <v>0</v>
      </c>
      <c r="L11" s="60">
        <f>SUMIFS(budgetMilestone3[Milestone 3],budgetMilestone3[Category],budgetMilestone3Overall[[#This Row],[Category]],budgetMilestone3[director], "&lt;&gt;1")</f>
        <v>0</v>
      </c>
      <c r="M11" s="60">
        <f ca="1">SUMIFS(budgetMilestone3[Milestone 4],budgetMilestone3[Category],budgetMilestone3Overall[[#This Row],[Category]],budgetMilestone3[director], "&lt;&gt;1")</f>
        <v>0</v>
      </c>
      <c r="N11" s="60">
        <f ca="1">SUMIFS(budgetMilestone3[Final],budgetMilestone3[Category],budgetMilestone3Overall[[#This Row],[Category]],budgetMilestone3[director], "&lt;&gt;1")</f>
        <v>0</v>
      </c>
      <c r="O11" s="60">
        <f ca="1">SUM(budgetMilestone3Overall[[#This Row],[Milestone 1]:[Final]])</f>
        <v>0</v>
      </c>
      <c r="P11" s="60"/>
      <c r="Q11" s="60"/>
      <c r="R11" s="60"/>
    </row>
    <row r="12" spans="1:18" ht="15" customHeight="1" x14ac:dyDescent="0.25">
      <c r="A12" s="110" t="str">
        <f ca="1"/>
        <v>Other</v>
      </c>
      <c r="B12" s="110">
        <f ca="1"/>
        <v>0</v>
      </c>
      <c r="C12" s="110">
        <f ca="1"/>
        <v>0</v>
      </c>
      <c r="D12" s="110">
        <f ca="1"/>
        <v>0</v>
      </c>
      <c r="E12" s="110">
        <f ca="1"/>
        <v>0</v>
      </c>
      <c r="F12" s="110">
        <f ca="1"/>
        <v>0</v>
      </c>
      <c r="G12" s="111">
        <f ca="1"/>
        <v>0</v>
      </c>
      <c r="H12" s="60"/>
      <c r="I12" s="60" t="str">
        <f>INDEX(categories[Expense Categories],ROW()-ROW(budgetMilestone3Overall[#Headers]))</f>
        <v>Other</v>
      </c>
      <c r="J12" s="60">
        <f>SUMIFS(budgetMilestone3[Milestone 1],budgetMilestone3[Category],budgetMilestone3Overall[[#This Row],[Category]],budgetMilestone3[director], "&lt;&gt;1")</f>
        <v>0</v>
      </c>
      <c r="K12" s="60">
        <f>SUMIFS(budgetMilestone3[Milestone 2],budgetMilestone3[Category],budgetMilestone3Overall[[#This Row],[Category]],budgetMilestone3[director], "&lt;&gt;1")</f>
        <v>0</v>
      </c>
      <c r="L12" s="60">
        <f>SUMIFS(budgetMilestone3[Milestone 3],budgetMilestone3[Category],budgetMilestone3Overall[[#This Row],[Category]],budgetMilestone3[director], "&lt;&gt;1")</f>
        <v>0</v>
      </c>
      <c r="M12" s="60">
        <f ca="1">SUMIFS(budgetMilestone3[Milestone 4],budgetMilestone3[Category],budgetMilestone3Overall[[#This Row],[Category]],budgetMilestone3[director], "&lt;&gt;1")</f>
        <v>0</v>
      </c>
      <c r="N12" s="60">
        <f ca="1">SUMIFS(budgetMilestone3[Final],budgetMilestone3[Category],budgetMilestone3Overall[[#This Row],[Category]],budgetMilestone3[director], "&lt;&gt;1")</f>
        <v>0</v>
      </c>
      <c r="O12" s="60">
        <f ca="1">SUM(budgetMilestone3Overall[[#This Row],[Milestone 1]:[Final]])</f>
        <v>0</v>
      </c>
      <c r="P12" s="60"/>
      <c r="Q12" s="60"/>
      <c r="R12" s="60"/>
    </row>
    <row r="13" spans="1:18" ht="15" customHeight="1" x14ac:dyDescent="0.25">
      <c r="A13" s="108" t="str">
        <f ca="1"/>
        <v>Stipends</v>
      </c>
      <c r="B13" s="108">
        <f ca="1"/>
        <v>0</v>
      </c>
      <c r="C13" s="108">
        <f ca="1"/>
        <v>0</v>
      </c>
      <c r="D13" s="108">
        <f ca="1"/>
        <v>0</v>
      </c>
      <c r="E13" s="108">
        <f ca="1"/>
        <v>0</v>
      </c>
      <c r="F13" s="108">
        <f ca="1"/>
        <v>0</v>
      </c>
      <c r="G13" s="109">
        <f ca="1"/>
        <v>0</v>
      </c>
      <c r="H13" s="60"/>
      <c r="I13" s="60" t="str">
        <f>INDEX(categories[Expense Categories],ROW()-ROW(budgetMilestone3Overall[#Headers]))</f>
        <v>Stipends</v>
      </c>
      <c r="J13" s="60">
        <f>SUMIFS(budgetMilestone3[Milestone 1],budgetMilestone3[Category],budgetMilestone3Overall[[#This Row],[Category]],budgetMilestone3[director], "&lt;&gt;1")</f>
        <v>0</v>
      </c>
      <c r="K13" s="60">
        <f>SUMIFS(budgetMilestone3[Milestone 2],budgetMilestone3[Category],budgetMilestone3Overall[[#This Row],[Category]],budgetMilestone3[director], "&lt;&gt;1")</f>
        <v>0</v>
      </c>
      <c r="L13" s="60">
        <f>SUMIFS(budgetMilestone3[Milestone 3],budgetMilestone3[Category],budgetMilestone3Overall[[#This Row],[Category]],budgetMilestone3[director], "&lt;&gt;1")</f>
        <v>0</v>
      </c>
      <c r="M13" s="60">
        <f ca="1">SUMIFS(budgetMilestone3[Milestone 4],budgetMilestone3[Category],budgetMilestone3Overall[[#This Row],[Category]],budgetMilestone3[director], "&lt;&gt;1")</f>
        <v>0</v>
      </c>
      <c r="N13" s="60">
        <f ca="1">SUMIFS(budgetMilestone3[Final],budgetMilestone3[Category],budgetMilestone3Overall[[#This Row],[Category]],budgetMilestone3[director], "&lt;&gt;1")</f>
        <v>0</v>
      </c>
      <c r="O13" s="60">
        <f ca="1">SUM(budgetMilestone3Overall[[#This Row],[Milestone 1]:[Final]])</f>
        <v>0</v>
      </c>
      <c r="P13" s="60"/>
      <c r="Q13" s="60"/>
      <c r="R13" s="60"/>
    </row>
    <row r="14" spans="1:18" ht="15" customHeight="1" thickBot="1" x14ac:dyDescent="0.3">
      <c r="A14" s="112" t="str">
        <f ca="1"/>
        <v>Co-financing of personnel</v>
      </c>
      <c r="B14" s="112">
        <f ca="1"/>
        <v>0</v>
      </c>
      <c r="C14" s="112">
        <f ca="1"/>
        <v>0</v>
      </c>
      <c r="D14" s="112">
        <f ca="1"/>
        <v>0</v>
      </c>
      <c r="E14" s="112">
        <f ca="1"/>
        <v>0</v>
      </c>
      <c r="F14" s="112">
        <f ca="1"/>
        <v>0</v>
      </c>
      <c r="G14" s="113">
        <f ca="1"/>
        <v>0</v>
      </c>
      <c r="H14" s="60"/>
      <c r="I14" s="60" t="str">
        <f>INDEX(categories[Expense Categories],ROW()-ROW(budgetMilestone3Overall[#Headers]))</f>
        <v>Co-financing of personnel</v>
      </c>
      <c r="J14" s="60">
        <f>SUMIFS(budgetMilestone3[Milestone 1],budgetMilestone3[Category],budgetMilestone3Overall[[#This Row],[Category]],budgetMilestone3[director], "&lt;&gt;1")</f>
        <v>0</v>
      </c>
      <c r="K14" s="60">
        <f>SUMIFS(budgetMilestone3[Milestone 2],budgetMilestone3[Category],budgetMilestone3Overall[[#This Row],[Category]],budgetMilestone3[director], "&lt;&gt;1")</f>
        <v>0</v>
      </c>
      <c r="L14" s="60">
        <f>SUMIFS(budgetMilestone3[Milestone 3],budgetMilestone3[Category],budgetMilestone3Overall[[#This Row],[Category]],budgetMilestone3[director], "&lt;&gt;1")</f>
        <v>0</v>
      </c>
      <c r="M14" s="60">
        <f ca="1">SUMIFS(budgetMilestone3[Milestone 4],budgetMilestone3[Category],budgetMilestone3Overall[[#This Row],[Category]],budgetMilestone3[director], "&lt;&gt;1")</f>
        <v>0</v>
      </c>
      <c r="N14" s="60">
        <f ca="1">SUMIFS(budgetMilestone3[Final],budgetMilestone3[Category],budgetMilestone3Overall[[#This Row],[Category]],budgetMilestone3[director], "&lt;&gt;1")</f>
        <v>0</v>
      </c>
      <c r="O14" s="60">
        <f ca="1">SUM(budgetMilestone3Overall[[#This Row],[Milestone 1]:[Final]])</f>
        <v>0</v>
      </c>
      <c r="P14" s="60"/>
      <c r="Q14" s="60"/>
      <c r="R14" s="60"/>
    </row>
    <row r="15" spans="1:18" ht="15" customHeight="1" thickTop="1" x14ac:dyDescent="0.25">
      <c r="A15" s="114" t="str">
        <f ca="1"/>
        <v>Total</v>
      </c>
      <c r="B15" s="114">
        <f ca="1"/>
        <v>0</v>
      </c>
      <c r="C15" s="114">
        <f ca="1"/>
        <v>0</v>
      </c>
      <c r="D15" s="114">
        <f ca="1"/>
        <v>0</v>
      </c>
      <c r="E15" s="114">
        <f ca="1"/>
        <v>0</v>
      </c>
      <c r="F15" s="114">
        <f ca="1"/>
        <v>0</v>
      </c>
      <c r="G15" s="115">
        <f ca="1"/>
        <v>0</v>
      </c>
      <c r="H15" s="60"/>
      <c r="I15" s="179" t="s">
        <v>403</v>
      </c>
      <c r="J15" s="179">
        <f>SUBTOTAL(109,budgetMilestone3Overall[Milestone 1])</f>
        <v>0</v>
      </c>
      <c r="K15" s="179">
        <f>SUBTOTAL(109,budgetMilestone3Overall[Milestone 2])</f>
        <v>0</v>
      </c>
      <c r="L15" s="179">
        <f>SUBTOTAL(109,budgetMilestone3Overall[Milestone 3])</f>
        <v>0</v>
      </c>
      <c r="M15" s="179">
        <f ca="1">SUBTOTAL(109,budgetMilestone3Overall[Milestone 4])</f>
        <v>0</v>
      </c>
      <c r="N15" s="179">
        <f ca="1">SUBTOTAL(109,budgetMilestone3Overall[Final])</f>
        <v>0</v>
      </c>
      <c r="O15" s="179">
        <f ca="1">SUBTOTAL(109,budgetMilestone3Overall[Total])</f>
        <v>0</v>
      </c>
      <c r="P15" s="47"/>
      <c r="Q15" s="47"/>
      <c r="R15" s="47"/>
    </row>
    <row r="16" spans="1:18" ht="15" customHeight="1" x14ac:dyDescent="0.25">
      <c r="A16" s="60">
        <f ca="1"/>
        <v>0</v>
      </c>
      <c r="B16" s="60">
        <f ca="1"/>
        <v>0</v>
      </c>
      <c r="C16" s="60">
        <f ca="1"/>
        <v>0</v>
      </c>
      <c r="D16" s="60">
        <f ca="1"/>
        <v>0</v>
      </c>
      <c r="E16" s="60">
        <f ca="1"/>
        <v>0</v>
      </c>
      <c r="F16" s="60">
        <f ca="1"/>
        <v>0</v>
      </c>
      <c r="G16" s="60">
        <f ca="1"/>
        <v>0</v>
      </c>
      <c r="H16" s="60"/>
      <c r="I16" s="60"/>
      <c r="J16" s="60"/>
      <c r="K16" s="60"/>
      <c r="L16" s="60"/>
      <c r="M16" s="60"/>
      <c r="N16" s="60"/>
      <c r="O16" s="60"/>
      <c r="P16" s="60"/>
      <c r="Q16" s="60"/>
      <c r="R16" s="60"/>
    </row>
    <row r="17" spans="1:18" ht="26.25" thickBot="1" x14ac:dyDescent="0.3">
      <c r="A17" s="106" t="str">
        <f ca="1"/>
        <v>Category</v>
      </c>
      <c r="B17" s="106" t="str">
        <f ca="1"/>
        <v>Milestone 1</v>
      </c>
      <c r="C17" s="106" t="str">
        <f ca="1"/>
        <v>Milestone 2</v>
      </c>
      <c r="D17" s="106" t="str">
        <f ca="1"/>
        <v>Milestone 3</v>
      </c>
      <c r="E17" s="106" t="str">
        <f ca="1"/>
        <v>Milestone 4</v>
      </c>
      <c r="F17" s="106" t="str">
        <f ca="1"/>
        <v>Final</v>
      </c>
      <c r="G17" s="106" t="str">
        <f ca="1"/>
        <v>Total</v>
      </c>
      <c r="H17" s="60"/>
      <c r="I17" s="62" t="s">
        <v>395</v>
      </c>
      <c r="J17" s="72" t="s">
        <v>407</v>
      </c>
      <c r="K17" s="72" t="s">
        <v>408</v>
      </c>
      <c r="L17" s="72" t="s">
        <v>409</v>
      </c>
      <c r="M17" s="72" t="s">
        <v>485</v>
      </c>
      <c r="N17" s="62" t="s">
        <v>410</v>
      </c>
      <c r="O17" s="81" t="s">
        <v>403</v>
      </c>
      <c r="P17" s="62" t="s">
        <v>427</v>
      </c>
      <c r="Q17" s="62" t="s">
        <v>428</v>
      </c>
      <c r="R17" s="62" t="s">
        <v>429</v>
      </c>
    </row>
    <row r="18" spans="1:18" ht="15" customHeight="1" thickTop="1" x14ac:dyDescent="0.25">
      <c r="A18" s="105" t="str">
        <f ca="1"/>
        <v xml:space="preserve">0 / </v>
      </c>
      <c r="B18" s="105">
        <f ca="1"/>
        <v>0</v>
      </c>
      <c r="C18" s="105">
        <f ca="1"/>
        <v>0</v>
      </c>
      <c r="D18" s="105">
        <f ca="1"/>
        <v>0</v>
      </c>
      <c r="E18" s="105">
        <f ca="1"/>
        <v>0</v>
      </c>
      <c r="F18" s="105">
        <f ca="1"/>
        <v>0</v>
      </c>
      <c r="G18" s="105">
        <f ca="1"/>
        <v>0</v>
      </c>
      <c r="H18" s="60"/>
      <c r="I18"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xml:space="preserve">0 / </v>
      </c>
      <c r="J18" s="122"/>
      <c r="K18" s="122"/>
      <c r="L18" s="122"/>
      <c r="M18" s="122"/>
      <c r="N18" s="122"/>
      <c r="O18" s="122"/>
      <c r="P18" s="60">
        <f>ROW()-ROW(budgetMilestone3[#Headers])</f>
        <v>1</v>
      </c>
      <c r="Q18" s="60">
        <f>IF(budgetMilestone3[row] &lt;= numCategories +3, budgetMilestone3[row]-1, MOD(budgetMilestone3[row]-1,numCategories+3) + IF(MOD(budgetMilestone3[row]-2,numCategories+2)&gt;numCategories+1, 1,0))</f>
        <v>0</v>
      </c>
      <c r="R18" s="60">
        <f>IFERROR(INDEX(directors[Last],MAX(1,FLOOR((budgetMilestone3[row]-1)/(numCategories+3)+1,1))),1)</f>
        <v>0</v>
      </c>
    </row>
    <row r="19" spans="1:18" ht="15" customHeight="1" x14ac:dyDescent="0.25">
      <c r="A19" s="105" t="str">
        <f ca="1"/>
        <v>Equipment</v>
      </c>
      <c r="B19" s="105">
        <f ca="1"/>
        <v>0</v>
      </c>
      <c r="C19" s="105">
        <f ca="1"/>
        <v>0</v>
      </c>
      <c r="D19" s="105">
        <f ca="1"/>
        <v>0</v>
      </c>
      <c r="E19" s="105">
        <f ca="1"/>
        <v>0</v>
      </c>
      <c r="F19" s="105">
        <f ca="1"/>
        <v>0</v>
      </c>
      <c r="G19" s="105">
        <f ca="1"/>
        <v>0</v>
      </c>
      <c r="H19" s="60"/>
      <c r="I19"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Equipment</v>
      </c>
      <c r="J19" s="122">
        <f>budgetMilestone1[[#This Row],[Milestone 1]]</f>
        <v>0</v>
      </c>
      <c r="K19" s="122">
        <f>budgetMilestone2[[#This Row],[Milestone 2]]</f>
        <v>0</v>
      </c>
      <c r="L19" s="122">
        <f>SUMIFS(ARF[Amount in Euro], ARF[Co Director],budgetMilestone3[director], ARF[Category], budgetMilestone3[Category], ARF[Date], "&gt;" &amp; cleanDateMilestone2,ARF[Date], "&lt;=" &amp; cleanDateMilestone3)</f>
        <v>0</v>
      </c>
      <c r="M19" s="123">
        <f ca="1">'Milestone 3'!$E19</f>
        <v>0</v>
      </c>
      <c r="N19" s="123">
        <f ca="1">'Milestone 3'!$F19</f>
        <v>0</v>
      </c>
      <c r="O19" s="122">
        <f ca="1">SUM(budgetMilestone3[[#This Row],[Milestone 1]:[Final]])</f>
        <v>0</v>
      </c>
      <c r="P19" s="60">
        <f>ROW()-ROW(budgetMilestone3[#Headers])</f>
        <v>2</v>
      </c>
      <c r="Q19" s="60">
        <f>IF(budgetMilestone3[row] &lt;= numCategories +3, budgetMilestone3[row]-1, MOD(budgetMilestone3[row]-1,numCategories+3) + IF(MOD(budgetMilestone3[row]-2,numCategories+2)&gt;numCategories+1, 1,0))</f>
        <v>1</v>
      </c>
      <c r="R19" s="60">
        <f>IFERROR(INDEX(directors[Last],MAX(1,FLOOR((budgetMilestone3[row]-1)/(numCategories+3)+1,1))),1)</f>
        <v>0</v>
      </c>
    </row>
    <row r="20" spans="1:18" ht="15" customHeight="1" x14ac:dyDescent="0.25">
      <c r="A20" s="105" t="str">
        <f ca="1"/>
        <v>Training</v>
      </c>
      <c r="B20" s="105">
        <f ca="1"/>
        <v>0</v>
      </c>
      <c r="C20" s="105">
        <f ca="1"/>
        <v>0</v>
      </c>
      <c r="D20" s="105">
        <f ca="1"/>
        <v>0</v>
      </c>
      <c r="E20" s="105">
        <f ca="1"/>
        <v>0</v>
      </c>
      <c r="F20" s="105">
        <f ca="1"/>
        <v>0</v>
      </c>
      <c r="G20" s="105">
        <f ca="1"/>
        <v>0</v>
      </c>
      <c r="H20" s="60"/>
      <c r="I20"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Training</v>
      </c>
      <c r="J20" s="122">
        <f>budgetMilestone1[[#This Row],[Milestone 1]]</f>
        <v>0</v>
      </c>
      <c r="K20" s="122">
        <f>budgetMilestone2[[#This Row],[Milestone 2]]</f>
        <v>0</v>
      </c>
      <c r="L20" s="122">
        <f>SUMIFS(ARF[Amount in Euro], ARF[Co Director],budgetMilestone3[director], ARF[Category], budgetMilestone3[Category], ARF[Date], "&gt;" &amp; cleanDateMilestone2,ARF[Date], "&lt;=" &amp; cleanDateMilestone3)</f>
        <v>0</v>
      </c>
      <c r="M20" s="123">
        <f ca="1">'Milestone 3'!$E20</f>
        <v>0</v>
      </c>
      <c r="N20" s="123">
        <f ca="1">'Milestone 3'!$F20</f>
        <v>0</v>
      </c>
      <c r="O20" s="122">
        <f ca="1">SUM(budgetMilestone3[[#This Row],[Milestone 1]:[Final]])</f>
        <v>0</v>
      </c>
      <c r="P20" s="60">
        <f>ROW()-ROW(budgetMilestone3[#Headers])</f>
        <v>3</v>
      </c>
      <c r="Q20" s="60">
        <f>IF(budgetMilestone3[row] &lt;= numCategories +3, budgetMilestone3[row]-1, MOD(budgetMilestone3[row]-1,numCategories+3) + IF(MOD(budgetMilestone3[row]-2,numCategories+2)&gt;numCategories+1, 1,0))</f>
        <v>2</v>
      </c>
      <c r="R20" s="60">
        <f>IFERROR(INDEX(directors[Last],MAX(1,FLOOR((budgetMilestone3[row]-1)/(numCategories+3)+1,1))),1)</f>
        <v>0</v>
      </c>
    </row>
    <row r="21" spans="1:18" ht="15" customHeight="1" x14ac:dyDescent="0.25">
      <c r="A21" s="105" t="str">
        <f ca="1"/>
        <v>Communication &amp; Publication</v>
      </c>
      <c r="B21" s="105">
        <f ca="1"/>
        <v>0</v>
      </c>
      <c r="C21" s="105">
        <f ca="1"/>
        <v>0</v>
      </c>
      <c r="D21" s="105">
        <f ca="1"/>
        <v>0</v>
      </c>
      <c r="E21" s="105">
        <f ca="1"/>
        <v>0</v>
      </c>
      <c r="F21" s="105">
        <f ca="1"/>
        <v>0</v>
      </c>
      <c r="G21" s="105">
        <f ca="1"/>
        <v>0</v>
      </c>
      <c r="H21" s="60"/>
      <c r="I21"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Communication &amp; Publication</v>
      </c>
      <c r="J21" s="122">
        <f>budgetMilestone1[[#This Row],[Milestone 1]]</f>
        <v>0</v>
      </c>
      <c r="K21" s="122">
        <f>budgetMilestone2[[#This Row],[Milestone 2]]</f>
        <v>0</v>
      </c>
      <c r="L21" s="122">
        <f>SUMIFS(ARF[Amount in Euro], ARF[Co Director],budgetMilestone3[director], ARF[Category], budgetMilestone3[Category], ARF[Date], "&gt;" &amp; cleanDateMilestone2,ARF[Date], "&lt;=" &amp; cleanDateMilestone3)</f>
        <v>0</v>
      </c>
      <c r="M21" s="123">
        <f ca="1">'Milestone 3'!$E21</f>
        <v>0</v>
      </c>
      <c r="N21" s="123">
        <f ca="1">'Milestone 3'!$F21</f>
        <v>0</v>
      </c>
      <c r="O21" s="122">
        <f ca="1">SUM(budgetMilestone3[[#This Row],[Milestone 1]:[Final]])</f>
        <v>0</v>
      </c>
      <c r="P21" s="60">
        <f>ROW()-ROW(budgetMilestone3[#Headers])</f>
        <v>4</v>
      </c>
      <c r="Q21" s="60">
        <f>IF(budgetMilestone3[row] &lt;= numCategories +3, budgetMilestone3[row]-1, MOD(budgetMilestone3[row]-1,numCategories+3) + IF(MOD(budgetMilestone3[row]-2,numCategories+2)&gt;numCategories+1, 1,0))</f>
        <v>3</v>
      </c>
      <c r="R21" s="60">
        <f>IFERROR(INDEX(directors[Last],MAX(1,FLOOR((budgetMilestone3[row]-1)/(numCategories+3)+1,1))),1)</f>
        <v>0</v>
      </c>
    </row>
    <row r="22" spans="1:18" ht="15" customHeight="1" x14ac:dyDescent="0.25">
      <c r="A22" s="105" t="str">
        <f ca="1"/>
        <v>Travel</v>
      </c>
      <c r="B22" s="105">
        <f ca="1"/>
        <v>0</v>
      </c>
      <c r="C22" s="105">
        <f ca="1"/>
        <v>0</v>
      </c>
      <c r="D22" s="105">
        <f ca="1"/>
        <v>0</v>
      </c>
      <c r="E22" s="105">
        <f ca="1"/>
        <v>0</v>
      </c>
      <c r="F22" s="105">
        <f ca="1"/>
        <v>0</v>
      </c>
      <c r="G22" s="105">
        <f ca="1"/>
        <v>0</v>
      </c>
      <c r="H22" s="60"/>
      <c r="I22"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Travel</v>
      </c>
      <c r="J22" s="122">
        <f>budgetMilestone1[[#This Row],[Milestone 1]]</f>
        <v>0</v>
      </c>
      <c r="K22" s="122">
        <f>budgetMilestone2[[#This Row],[Milestone 2]]</f>
        <v>0</v>
      </c>
      <c r="L22" s="122">
        <f>SUMIFS(ARF[Amount in Euro], ARF[Co Director],budgetMilestone3[director], ARF[Category], budgetMilestone3[Category], ARF[Date], "&gt;" &amp; cleanDateMilestone2,ARF[Date], "&lt;=" &amp; cleanDateMilestone3)</f>
        <v>0</v>
      </c>
      <c r="M22" s="123">
        <f ca="1">'Milestone 3'!$E22</f>
        <v>0</v>
      </c>
      <c r="N22" s="123">
        <f ca="1">'Milestone 3'!$F22</f>
        <v>0</v>
      </c>
      <c r="O22" s="122">
        <f ca="1">SUM(budgetMilestone3[[#This Row],[Milestone 1]:[Final]])</f>
        <v>0</v>
      </c>
      <c r="P22" s="60">
        <f>ROW()-ROW(budgetMilestone3[#Headers])</f>
        <v>5</v>
      </c>
      <c r="Q22" s="60">
        <f>IF(budgetMilestone3[row] &lt;= numCategories +3, budgetMilestone3[row]-1, MOD(budgetMilestone3[row]-1,numCategories+3) + IF(MOD(budgetMilestone3[row]-2,numCategories+2)&gt;numCategories+1, 1,0))</f>
        <v>4</v>
      </c>
      <c r="R22" s="60">
        <f>IFERROR(INDEX(directors[Last],MAX(1,FLOOR((budgetMilestone3[row]-1)/(numCategories+3)+1,1))),1)</f>
        <v>0</v>
      </c>
    </row>
    <row r="23" spans="1:18" ht="15" customHeight="1" x14ac:dyDescent="0.25">
      <c r="A23" s="105" t="str">
        <f ca="1"/>
        <v>Consumables</v>
      </c>
      <c r="B23" s="105">
        <f ca="1"/>
        <v>0</v>
      </c>
      <c r="C23" s="105">
        <f ca="1"/>
        <v>0</v>
      </c>
      <c r="D23" s="105">
        <f ca="1"/>
        <v>0</v>
      </c>
      <c r="E23" s="105">
        <f ca="1"/>
        <v>0</v>
      </c>
      <c r="F23" s="105">
        <f ca="1"/>
        <v>0</v>
      </c>
      <c r="G23" s="105">
        <f ca="1"/>
        <v>0</v>
      </c>
      <c r="H23" s="60"/>
      <c r="I23"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Consumables</v>
      </c>
      <c r="J23" s="122">
        <f>budgetMilestone1[[#This Row],[Milestone 1]]</f>
        <v>0</v>
      </c>
      <c r="K23" s="122">
        <f>budgetMilestone2[[#This Row],[Milestone 2]]</f>
        <v>0</v>
      </c>
      <c r="L23" s="122">
        <f>SUMIFS(ARF[Amount in Euro], ARF[Co Director],budgetMilestone3[director], ARF[Category], budgetMilestone3[Category], ARF[Date], "&gt;" &amp; cleanDateMilestone2,ARF[Date], "&lt;=" &amp; cleanDateMilestone3)</f>
        <v>0</v>
      </c>
      <c r="M23" s="123">
        <f ca="1">'Milestone 3'!$E23</f>
        <v>0</v>
      </c>
      <c r="N23" s="123">
        <f ca="1">'Milestone 3'!$F23</f>
        <v>0</v>
      </c>
      <c r="O23" s="122">
        <f ca="1">SUM(budgetMilestone3[[#This Row],[Milestone 1]:[Final]])</f>
        <v>0</v>
      </c>
      <c r="P23" s="60">
        <f>ROW()-ROW(budgetMilestone3[#Headers])</f>
        <v>6</v>
      </c>
      <c r="Q23" s="60">
        <f>IF(budgetMilestone3[row] &lt;= numCategories +3, budgetMilestone3[row]-1, MOD(budgetMilestone3[row]-1,numCategories+3) + IF(MOD(budgetMilestone3[row]-2,numCategories+2)&gt;numCategories+1, 1,0))</f>
        <v>5</v>
      </c>
      <c r="R23" s="60">
        <f>IFERROR(INDEX(directors[Last],MAX(1,FLOOR((budgetMilestone3[row]-1)/(numCategories+3)+1,1))),1)</f>
        <v>0</v>
      </c>
    </row>
    <row r="24" spans="1:18" ht="15" customHeight="1" x14ac:dyDescent="0.25">
      <c r="A24" s="105" t="str">
        <f ca="1"/>
        <v>Other</v>
      </c>
      <c r="B24" s="105">
        <f ca="1"/>
        <v>0</v>
      </c>
      <c r="C24" s="105">
        <f ca="1"/>
        <v>0</v>
      </c>
      <c r="D24" s="105">
        <f ca="1"/>
        <v>0</v>
      </c>
      <c r="E24" s="105">
        <f ca="1"/>
        <v>0</v>
      </c>
      <c r="F24" s="105">
        <f ca="1"/>
        <v>0</v>
      </c>
      <c r="G24" s="105">
        <f ca="1"/>
        <v>0</v>
      </c>
      <c r="H24" s="60"/>
      <c r="I24"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Other</v>
      </c>
      <c r="J24" s="122">
        <f>budgetMilestone1[[#This Row],[Milestone 1]]</f>
        <v>0</v>
      </c>
      <c r="K24" s="122">
        <f>budgetMilestone2[[#This Row],[Milestone 2]]</f>
        <v>0</v>
      </c>
      <c r="L24" s="122">
        <f>SUMIFS(ARF[Amount in Euro], ARF[Co Director],budgetMilestone3[director], ARF[Category], budgetMilestone3[Category], ARF[Date], "&gt;" &amp; cleanDateMilestone2,ARF[Date], "&lt;=" &amp; cleanDateMilestone3)</f>
        <v>0</v>
      </c>
      <c r="M24" s="123">
        <f ca="1">'Milestone 3'!$E24</f>
        <v>0</v>
      </c>
      <c r="N24" s="123">
        <f ca="1">'Milestone 3'!$F24</f>
        <v>0</v>
      </c>
      <c r="O24" s="122">
        <f ca="1">SUM(budgetMilestone3[[#This Row],[Milestone 1]:[Final]])</f>
        <v>0</v>
      </c>
      <c r="P24" s="60">
        <f>ROW()-ROW(budgetMilestone3[#Headers])</f>
        <v>7</v>
      </c>
      <c r="Q24" s="60">
        <f>IF(budgetMilestone3[row] &lt;= numCategories +3, budgetMilestone3[row]-1, MOD(budgetMilestone3[row]-1,numCategories+3) + IF(MOD(budgetMilestone3[row]-2,numCategories+2)&gt;numCategories+1, 1,0))</f>
        <v>6</v>
      </c>
      <c r="R24" s="60">
        <f>IFERROR(INDEX(directors[Last],MAX(1,FLOOR((budgetMilestone3[row]-1)/(numCategories+3)+1,1))),1)</f>
        <v>0</v>
      </c>
    </row>
    <row r="25" spans="1:18" ht="15" customHeight="1" x14ac:dyDescent="0.25">
      <c r="A25" s="105" t="str">
        <f ca="1"/>
        <v>Stipends</v>
      </c>
      <c r="B25" s="105">
        <f ca="1"/>
        <v>0</v>
      </c>
      <c r="C25" s="105">
        <f ca="1"/>
        <v>0</v>
      </c>
      <c r="D25" s="105">
        <f ca="1"/>
        <v>0</v>
      </c>
      <c r="E25" s="105">
        <f ca="1"/>
        <v>0</v>
      </c>
      <c r="F25" s="105">
        <f ca="1"/>
        <v>0</v>
      </c>
      <c r="G25" s="105">
        <f ca="1"/>
        <v>0</v>
      </c>
      <c r="H25" s="60"/>
      <c r="I25"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Stipends</v>
      </c>
      <c r="J25" s="122">
        <f>budgetMilestone1[[#This Row],[Milestone 1]]</f>
        <v>0</v>
      </c>
      <c r="K25" s="122">
        <f>budgetMilestone2[[#This Row],[Milestone 2]]</f>
        <v>0</v>
      </c>
      <c r="L25" s="122">
        <f>SUMIFS(ARF[Amount in Euro], ARF[Co Director],budgetMilestone3[director], ARF[Category], budgetMilestone3[Category], ARF[Date], "&gt;" &amp; cleanDateMilestone2,ARF[Date], "&lt;=" &amp; cleanDateMilestone3)</f>
        <v>0</v>
      </c>
      <c r="M25" s="123">
        <f ca="1">'Milestone 3'!$E25</f>
        <v>0</v>
      </c>
      <c r="N25" s="123">
        <f ca="1">'Milestone 3'!$F25</f>
        <v>0</v>
      </c>
      <c r="O25" s="122">
        <f ca="1">SUM(budgetMilestone3[[#This Row],[Milestone 1]:[Final]])</f>
        <v>0</v>
      </c>
      <c r="P25" s="60">
        <f>ROW()-ROW(budgetMilestone3[#Headers])</f>
        <v>8</v>
      </c>
      <c r="Q25" s="60">
        <f>IF(budgetMilestone3[row] &lt;= numCategories +3, budgetMilestone3[row]-1, MOD(budgetMilestone3[row]-1,numCategories+3) + IF(MOD(budgetMilestone3[row]-2,numCategories+2)&gt;numCategories+1, 1,0))</f>
        <v>7</v>
      </c>
      <c r="R25" s="60">
        <f>IFERROR(INDEX(directors[Last],MAX(1,FLOOR((budgetMilestone3[row]-1)/(numCategories+3)+1,1))),1)</f>
        <v>0</v>
      </c>
    </row>
    <row r="26" spans="1:18" ht="15" customHeight="1" x14ac:dyDescent="0.25">
      <c r="A26" s="105" t="str">
        <f ca="1"/>
        <v>Co-financing of personnel</v>
      </c>
      <c r="B26" s="105">
        <f ca="1"/>
        <v>0</v>
      </c>
      <c r="C26" s="105">
        <f ca="1"/>
        <v>0</v>
      </c>
      <c r="D26" s="105">
        <f ca="1"/>
        <v>0</v>
      </c>
      <c r="E26" s="105">
        <f ca="1"/>
        <v>0</v>
      </c>
      <c r="F26" s="105">
        <f ca="1"/>
        <v>0</v>
      </c>
      <c r="G26" s="105">
        <f ca="1"/>
        <v>0</v>
      </c>
      <c r="H26" s="60"/>
      <c r="I26"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Co-financing of personnel</v>
      </c>
      <c r="J26" s="122">
        <f>budgetMilestone1[[#This Row],[Milestone 1]]</f>
        <v>0</v>
      </c>
      <c r="K26" s="122">
        <f>budgetMilestone2[[#This Row],[Milestone 2]]</f>
        <v>0</v>
      </c>
      <c r="L26" s="122">
        <f>SUMIFS(ARF[Amount in Euro], ARF[Co Director],budgetMilestone3[director], ARF[Category], budgetMilestone3[Category], ARF[Date], "&gt;" &amp; cleanDateMilestone2,ARF[Date], "&lt;=" &amp; cleanDateMilestone3)</f>
        <v>0</v>
      </c>
      <c r="M26" s="123">
        <f ca="1">'Milestone 3'!$E26</f>
        <v>0</v>
      </c>
      <c r="N26" s="123">
        <f ca="1">'Milestone 3'!$F26</f>
        <v>0</v>
      </c>
      <c r="O26" s="122">
        <f ca="1">SUM(budgetMilestone3[[#This Row],[Milestone 1]:[Final]])</f>
        <v>0</v>
      </c>
      <c r="P26" s="60">
        <f>ROW()-ROW(budgetMilestone3[#Headers])</f>
        <v>9</v>
      </c>
      <c r="Q26" s="60">
        <f>IF(budgetMilestone3[row] &lt;= numCategories +3, budgetMilestone3[row]-1, MOD(budgetMilestone3[row]-1,numCategories+3) + IF(MOD(budgetMilestone3[row]-2,numCategories+2)&gt;numCategories+1, 1,0))</f>
        <v>8</v>
      </c>
      <c r="R26" s="60">
        <f>IFERROR(INDEX(directors[Last],MAX(1,FLOOR((budgetMilestone3[row]-1)/(numCategories+3)+1,1))),1)</f>
        <v>0</v>
      </c>
    </row>
    <row r="27" spans="1:18" ht="15" customHeight="1" x14ac:dyDescent="0.25">
      <c r="A27" s="105" t="str">
        <f ca="1"/>
        <v>Subtotal 0</v>
      </c>
      <c r="B27" s="105">
        <f ca="1"/>
        <v>0</v>
      </c>
      <c r="C27" s="105">
        <f ca="1"/>
        <v>0</v>
      </c>
      <c r="D27" s="105">
        <f ca="1"/>
        <v>0</v>
      </c>
      <c r="E27" s="105">
        <f ca="1"/>
        <v>0</v>
      </c>
      <c r="F27" s="105">
        <f ca="1"/>
        <v>0</v>
      </c>
      <c r="G27" s="105">
        <f ca="1"/>
        <v>0</v>
      </c>
      <c r="H27" s="60"/>
      <c r="I27"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Subtotal 0</v>
      </c>
      <c r="J27" s="122">
        <f>budgetMilestone1[[#This Row],[Milestone 1]]</f>
        <v>0</v>
      </c>
      <c r="K27" s="122">
        <f>budgetMilestone2[[#This Row],[Milestone 2]]</f>
        <v>0</v>
      </c>
      <c r="L27" s="122">
        <f t="shared" ref="L27:O27" si="0">SUBTOTAL(9,L19:L26)</f>
        <v>0</v>
      </c>
      <c r="M27" s="122">
        <f t="shared" ca="1" si="0"/>
        <v>0</v>
      </c>
      <c r="N27" s="122">
        <f t="shared" ca="1" si="0"/>
        <v>0</v>
      </c>
      <c r="O27" s="122">
        <f t="shared" ca="1" si="0"/>
        <v>0</v>
      </c>
      <c r="P27" s="60">
        <f>ROW()-ROW(budgetMilestone3[#Headers])</f>
        <v>10</v>
      </c>
      <c r="Q27" s="60">
        <f>IF(budgetMilestone3[row] &lt;= numCategories +3, budgetMilestone3[row]-1, MOD(budgetMilestone3[row]-1,numCategories+3) + IF(MOD(budgetMilestone3[row]-2,numCategories+2)&gt;numCategories+1, 1,0))</f>
        <v>9</v>
      </c>
      <c r="R27" s="60">
        <f>IFERROR(INDEX(directors[Last],MAX(1,FLOOR((budgetMilestone3[row]-1)/(numCategories+3)+1,1))),1)</f>
        <v>0</v>
      </c>
    </row>
    <row r="28" spans="1:18" ht="15" customHeight="1" x14ac:dyDescent="0.25">
      <c r="A28" s="105" t="str">
        <f ca="1"/>
        <v/>
      </c>
      <c r="B28" s="105">
        <f ca="1"/>
        <v>0</v>
      </c>
      <c r="C28" s="105">
        <f ca="1"/>
        <v>0</v>
      </c>
      <c r="D28" s="105">
        <f ca="1"/>
        <v>0</v>
      </c>
      <c r="E28" s="105">
        <f ca="1"/>
        <v>0</v>
      </c>
      <c r="F28" s="105">
        <f ca="1"/>
        <v>0</v>
      </c>
      <c r="G28" s="105">
        <f ca="1"/>
        <v>0</v>
      </c>
      <c r="H28" s="60"/>
      <c r="I28"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c>
      <c r="J28" s="122">
        <f>budgetMilestone1[[#This Row],[Milestone 1]]</f>
        <v>0</v>
      </c>
      <c r="K28" s="122">
        <f>budgetMilestone2[[#This Row],[Milestone 2]]</f>
        <v>0</v>
      </c>
      <c r="L28" s="122"/>
      <c r="M28" s="122"/>
      <c r="N28" s="122"/>
      <c r="O28" s="122">
        <f>SUM(budgetMilestone3[[#This Row],[Milestone 1]:[Final]])</f>
        <v>0</v>
      </c>
      <c r="P28" s="60">
        <f>ROW()-ROW(budgetMilestone3[#Headers])</f>
        <v>11</v>
      </c>
      <c r="Q28" s="60">
        <f>IF(budgetMilestone3[row] &lt;= numCategories +3, budgetMilestone3[row]-1, MOD(budgetMilestone3[row]-1,numCategories+3) + IF(MOD(budgetMilestone3[row]-2,numCategories+2)&gt;numCategories+1, 1,0))</f>
        <v>10</v>
      </c>
      <c r="R28" s="60">
        <f>IFERROR(INDEX(directors[Last],MAX(1,FLOOR((budgetMilestone3[row]-1)/(numCategories+3)+1,1))),1)</f>
        <v>0</v>
      </c>
    </row>
    <row r="29" spans="1:18" ht="15" customHeight="1" x14ac:dyDescent="0.25">
      <c r="A29" s="105" t="str">
        <f ca="1"/>
        <v xml:space="preserve">0 / </v>
      </c>
      <c r="B29" s="105">
        <f ca="1"/>
        <v>0</v>
      </c>
      <c r="C29" s="105">
        <f ca="1"/>
        <v>0</v>
      </c>
      <c r="D29" s="105">
        <f ca="1"/>
        <v>0</v>
      </c>
      <c r="E29" s="105">
        <f ca="1"/>
        <v>0</v>
      </c>
      <c r="F29" s="105">
        <f ca="1"/>
        <v>0</v>
      </c>
      <c r="G29" s="105">
        <f ca="1"/>
        <v>0</v>
      </c>
      <c r="H29" s="60"/>
      <c r="I29"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xml:space="preserve">0 / </v>
      </c>
      <c r="J29" s="122">
        <f>budgetMilestone1[[#This Row],[Milestone 1]]</f>
        <v>0</v>
      </c>
      <c r="K29" s="122">
        <f>budgetMilestone2[[#This Row],[Milestone 2]]</f>
        <v>0</v>
      </c>
      <c r="L29" s="122"/>
      <c r="M29" s="122"/>
      <c r="N29" s="122"/>
      <c r="O29" s="122">
        <f>SUM(budgetMilestone3[[#This Row],[Milestone 1]:[Final]])</f>
        <v>0</v>
      </c>
      <c r="P29" s="60">
        <f>ROW()-ROW(budgetMilestone3[#Headers])</f>
        <v>12</v>
      </c>
      <c r="Q29" s="60">
        <f>IF(budgetMilestone3[row] &lt;= numCategories +3, budgetMilestone3[row]-1, MOD(budgetMilestone3[row]-1,numCategories+3) + IF(MOD(budgetMilestone3[row]-2,numCategories+2)&gt;numCategories+1, 1,0))</f>
        <v>0</v>
      </c>
      <c r="R29" s="60">
        <f>IFERROR(INDEX(directors[Last],MAX(1,FLOOR((budgetMilestone3[row]-1)/(numCategories+3)+1,1))),1)</f>
        <v>0</v>
      </c>
    </row>
    <row r="30" spans="1:18" ht="15" customHeight="1" x14ac:dyDescent="0.25">
      <c r="A30" s="105" t="str">
        <f ca="1"/>
        <v>Equipment</v>
      </c>
      <c r="B30" s="105">
        <f ca="1"/>
        <v>0</v>
      </c>
      <c r="C30" s="105">
        <f ca="1"/>
        <v>0</v>
      </c>
      <c r="D30" s="105">
        <f ca="1"/>
        <v>0</v>
      </c>
      <c r="E30" s="105">
        <f ca="1"/>
        <v>0</v>
      </c>
      <c r="F30" s="105">
        <f ca="1"/>
        <v>0</v>
      </c>
      <c r="G30" s="105">
        <f ca="1"/>
        <v>0</v>
      </c>
      <c r="H30" s="60"/>
      <c r="I30"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Equipment</v>
      </c>
      <c r="J30" s="122">
        <f>budgetMilestone1[[#This Row],[Milestone 1]]</f>
        <v>0</v>
      </c>
      <c r="K30" s="122">
        <f>budgetMilestone2[[#This Row],[Milestone 2]]</f>
        <v>0</v>
      </c>
      <c r="L30" s="122">
        <f>SUMIFS(ARF[Amount in Euro], ARF[Co Director],budgetMilestone3[director], ARF[Category], budgetMilestone3[Category], ARF[Date], "&gt;" &amp; cleanDateMilestone2,ARF[Date], "&lt;=" &amp; cleanDateMilestone3)</f>
        <v>0</v>
      </c>
      <c r="M30" s="123">
        <f ca="1">'Milestone 3'!$E30</f>
        <v>0</v>
      </c>
      <c r="N30" s="123">
        <f ca="1">'Milestone 3'!$F30</f>
        <v>0</v>
      </c>
      <c r="O30" s="122">
        <f ca="1">SUM(budgetMilestone3[[#This Row],[Milestone 1]:[Final]])</f>
        <v>0</v>
      </c>
      <c r="P30" s="60">
        <f>ROW()-ROW(budgetMilestone3[#Headers])</f>
        <v>13</v>
      </c>
      <c r="Q30" s="60">
        <f>IF(budgetMilestone3[row] &lt;= numCategories +3, budgetMilestone3[row]-1, MOD(budgetMilestone3[row]-1,numCategories+3) + IF(MOD(budgetMilestone3[row]-2,numCategories+2)&gt;numCategories+1, 1,0))</f>
        <v>1</v>
      </c>
      <c r="R30" s="60">
        <f>IFERROR(INDEX(directors[Last],MAX(1,FLOOR((budgetMilestone3[row]-1)/(numCategories+3)+1,1))),1)</f>
        <v>0</v>
      </c>
    </row>
    <row r="31" spans="1:18" ht="15" customHeight="1" x14ac:dyDescent="0.25">
      <c r="A31" s="105" t="str">
        <f ca="1"/>
        <v>Training</v>
      </c>
      <c r="B31" s="105">
        <f ca="1"/>
        <v>0</v>
      </c>
      <c r="C31" s="105">
        <f ca="1"/>
        <v>0</v>
      </c>
      <c r="D31" s="105">
        <f ca="1"/>
        <v>0</v>
      </c>
      <c r="E31" s="105">
        <f ca="1"/>
        <v>0</v>
      </c>
      <c r="F31" s="105">
        <f ca="1"/>
        <v>0</v>
      </c>
      <c r="G31" s="105">
        <f ca="1"/>
        <v>0</v>
      </c>
      <c r="H31" s="60"/>
      <c r="I31"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Training</v>
      </c>
      <c r="J31" s="122">
        <f>budgetMilestone1[[#This Row],[Milestone 1]]</f>
        <v>0</v>
      </c>
      <c r="K31" s="122">
        <f>budgetMilestone2[[#This Row],[Milestone 2]]</f>
        <v>0</v>
      </c>
      <c r="L31" s="122">
        <f>SUMIFS(ARF[Amount in Euro], ARF[Co Director],budgetMilestone3[director], ARF[Category], budgetMilestone3[Category], ARF[Date], "&gt;" &amp; cleanDateMilestone2,ARF[Date], "&lt;=" &amp; cleanDateMilestone3)</f>
        <v>0</v>
      </c>
      <c r="M31" s="123">
        <f ca="1">'Milestone 3'!$E31</f>
        <v>0</v>
      </c>
      <c r="N31" s="123">
        <f ca="1">'Milestone 3'!$F31</f>
        <v>0</v>
      </c>
      <c r="O31" s="122">
        <f ca="1">SUM(budgetMilestone3[[#This Row],[Milestone 1]:[Final]])</f>
        <v>0</v>
      </c>
      <c r="P31" s="60">
        <f>ROW()-ROW(budgetMilestone3[#Headers])</f>
        <v>14</v>
      </c>
      <c r="Q31" s="60">
        <f>IF(budgetMilestone3[row] &lt;= numCategories +3, budgetMilestone3[row]-1, MOD(budgetMilestone3[row]-1,numCategories+3) + IF(MOD(budgetMilestone3[row]-2,numCategories+2)&gt;numCategories+1, 1,0))</f>
        <v>2</v>
      </c>
      <c r="R31" s="60">
        <f>IFERROR(INDEX(directors[Last],MAX(1,FLOOR((budgetMilestone3[row]-1)/(numCategories+3)+1,1))),1)</f>
        <v>0</v>
      </c>
    </row>
    <row r="32" spans="1:18" ht="15" customHeight="1" x14ac:dyDescent="0.25">
      <c r="A32" s="105" t="str">
        <f ca="1"/>
        <v>Communication &amp; Publication</v>
      </c>
      <c r="B32" s="105">
        <f ca="1"/>
        <v>0</v>
      </c>
      <c r="C32" s="105">
        <f ca="1"/>
        <v>0</v>
      </c>
      <c r="D32" s="105">
        <f ca="1"/>
        <v>0</v>
      </c>
      <c r="E32" s="105">
        <f ca="1"/>
        <v>0</v>
      </c>
      <c r="F32" s="105">
        <f ca="1"/>
        <v>0</v>
      </c>
      <c r="G32" s="105">
        <f ca="1"/>
        <v>0</v>
      </c>
      <c r="H32" s="60"/>
      <c r="I32"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Communication &amp; Publication</v>
      </c>
      <c r="J32" s="122">
        <f>budgetMilestone1[[#This Row],[Milestone 1]]</f>
        <v>0</v>
      </c>
      <c r="K32" s="122">
        <f>budgetMilestone2[[#This Row],[Milestone 2]]</f>
        <v>0</v>
      </c>
      <c r="L32" s="122">
        <f>SUMIFS(ARF[Amount in Euro], ARF[Co Director],budgetMilestone3[director], ARF[Category], budgetMilestone3[Category], ARF[Date], "&gt;" &amp; cleanDateMilestone2,ARF[Date], "&lt;=" &amp; cleanDateMilestone3)</f>
        <v>0</v>
      </c>
      <c r="M32" s="123">
        <f ca="1">'Milestone 3'!$E32</f>
        <v>0</v>
      </c>
      <c r="N32" s="123">
        <f ca="1">'Milestone 3'!$F32</f>
        <v>0</v>
      </c>
      <c r="O32" s="122">
        <f ca="1">SUM(budgetMilestone3[[#This Row],[Milestone 1]:[Final]])</f>
        <v>0</v>
      </c>
      <c r="P32" s="60">
        <f>ROW()-ROW(budgetMilestone3[#Headers])</f>
        <v>15</v>
      </c>
      <c r="Q32" s="60">
        <f>IF(budgetMilestone3[row] &lt;= numCategories +3, budgetMilestone3[row]-1, MOD(budgetMilestone3[row]-1,numCategories+3) + IF(MOD(budgetMilestone3[row]-2,numCategories+2)&gt;numCategories+1, 1,0))</f>
        <v>3</v>
      </c>
      <c r="R32" s="60">
        <f>IFERROR(INDEX(directors[Last],MAX(1,FLOOR((budgetMilestone3[row]-1)/(numCategories+3)+1,1))),1)</f>
        <v>0</v>
      </c>
    </row>
    <row r="33" spans="1:18" ht="15" customHeight="1" x14ac:dyDescent="0.25">
      <c r="A33" s="105" t="str">
        <f ca="1"/>
        <v>Travel</v>
      </c>
      <c r="B33" s="105">
        <f ca="1"/>
        <v>0</v>
      </c>
      <c r="C33" s="105">
        <f ca="1"/>
        <v>0</v>
      </c>
      <c r="D33" s="105">
        <f ca="1"/>
        <v>0</v>
      </c>
      <c r="E33" s="105">
        <f ca="1"/>
        <v>0</v>
      </c>
      <c r="F33" s="105">
        <f ca="1"/>
        <v>0</v>
      </c>
      <c r="G33" s="105">
        <f ca="1"/>
        <v>0</v>
      </c>
      <c r="H33" s="60"/>
      <c r="I33"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Travel</v>
      </c>
      <c r="J33" s="122">
        <f>budgetMilestone1[[#This Row],[Milestone 1]]</f>
        <v>0</v>
      </c>
      <c r="K33" s="122">
        <f>budgetMilestone2[[#This Row],[Milestone 2]]</f>
        <v>0</v>
      </c>
      <c r="L33" s="122">
        <f>SUMIFS(ARF[Amount in Euro], ARF[Co Director],budgetMilestone3[director], ARF[Category], budgetMilestone3[Category], ARF[Date], "&gt;" &amp; cleanDateMilestone2,ARF[Date], "&lt;=" &amp; cleanDateMilestone3)</f>
        <v>0</v>
      </c>
      <c r="M33" s="123">
        <f ca="1">'Milestone 3'!$E33</f>
        <v>0</v>
      </c>
      <c r="N33" s="123">
        <f ca="1">'Milestone 3'!$F33</f>
        <v>0</v>
      </c>
      <c r="O33" s="122">
        <f ca="1">SUM(budgetMilestone3[[#This Row],[Milestone 1]:[Final]])</f>
        <v>0</v>
      </c>
      <c r="P33" s="60">
        <f>ROW()-ROW(budgetMilestone3[#Headers])</f>
        <v>16</v>
      </c>
      <c r="Q33" s="60">
        <f>IF(budgetMilestone3[row] &lt;= numCategories +3, budgetMilestone3[row]-1, MOD(budgetMilestone3[row]-1,numCategories+3) + IF(MOD(budgetMilestone3[row]-2,numCategories+2)&gt;numCategories+1, 1,0))</f>
        <v>4</v>
      </c>
      <c r="R33" s="60">
        <f>IFERROR(INDEX(directors[Last],MAX(1,FLOOR((budgetMilestone3[row]-1)/(numCategories+3)+1,1))),1)</f>
        <v>0</v>
      </c>
    </row>
    <row r="34" spans="1:18" ht="15" customHeight="1" x14ac:dyDescent="0.25">
      <c r="A34" s="105" t="str">
        <f ca="1"/>
        <v>Consumables</v>
      </c>
      <c r="B34" s="105">
        <f ca="1"/>
        <v>0</v>
      </c>
      <c r="C34" s="105">
        <f ca="1"/>
        <v>0</v>
      </c>
      <c r="D34" s="105">
        <f ca="1"/>
        <v>0</v>
      </c>
      <c r="E34" s="105">
        <f ca="1"/>
        <v>0</v>
      </c>
      <c r="F34" s="105">
        <f ca="1"/>
        <v>0</v>
      </c>
      <c r="G34" s="105">
        <f ca="1"/>
        <v>0</v>
      </c>
      <c r="H34" s="60"/>
      <c r="I34"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Consumables</v>
      </c>
      <c r="J34" s="122">
        <f>budgetMilestone1[[#This Row],[Milestone 1]]</f>
        <v>0</v>
      </c>
      <c r="K34" s="122">
        <f>budgetMilestone2[[#This Row],[Milestone 2]]</f>
        <v>0</v>
      </c>
      <c r="L34" s="122">
        <f>SUMIFS(ARF[Amount in Euro], ARF[Co Director],budgetMilestone3[director], ARF[Category], budgetMilestone3[Category], ARF[Date], "&gt;" &amp; cleanDateMilestone2,ARF[Date], "&lt;=" &amp; cleanDateMilestone3)</f>
        <v>0</v>
      </c>
      <c r="M34" s="123">
        <f ca="1">'Milestone 3'!$E34</f>
        <v>0</v>
      </c>
      <c r="N34" s="123">
        <f ca="1">'Milestone 3'!$F34</f>
        <v>0</v>
      </c>
      <c r="O34" s="122">
        <f ca="1">SUM(budgetMilestone3[[#This Row],[Milestone 1]:[Final]])</f>
        <v>0</v>
      </c>
      <c r="P34" s="60">
        <f>ROW()-ROW(budgetMilestone3[#Headers])</f>
        <v>17</v>
      </c>
      <c r="Q34" s="60">
        <f>IF(budgetMilestone3[row] &lt;= numCategories +3, budgetMilestone3[row]-1, MOD(budgetMilestone3[row]-1,numCategories+3) + IF(MOD(budgetMilestone3[row]-2,numCategories+2)&gt;numCategories+1, 1,0))</f>
        <v>5</v>
      </c>
      <c r="R34" s="60">
        <f>IFERROR(INDEX(directors[Last],MAX(1,FLOOR((budgetMilestone3[row]-1)/(numCategories+3)+1,1))),1)</f>
        <v>0</v>
      </c>
    </row>
    <row r="35" spans="1:18" ht="15" customHeight="1" x14ac:dyDescent="0.25">
      <c r="A35" s="105" t="str">
        <f ca="1"/>
        <v>Other</v>
      </c>
      <c r="B35" s="105">
        <f ca="1"/>
        <v>0</v>
      </c>
      <c r="C35" s="105">
        <f ca="1"/>
        <v>0</v>
      </c>
      <c r="D35" s="105">
        <f ca="1"/>
        <v>0</v>
      </c>
      <c r="E35" s="105">
        <f ca="1"/>
        <v>0</v>
      </c>
      <c r="F35" s="105">
        <f ca="1"/>
        <v>0</v>
      </c>
      <c r="G35" s="105">
        <f ca="1"/>
        <v>0</v>
      </c>
      <c r="H35" s="60"/>
      <c r="I35"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Other</v>
      </c>
      <c r="J35" s="122">
        <f>budgetMilestone1[[#This Row],[Milestone 1]]</f>
        <v>0</v>
      </c>
      <c r="K35" s="122">
        <f>budgetMilestone2[[#This Row],[Milestone 2]]</f>
        <v>0</v>
      </c>
      <c r="L35" s="122">
        <f>SUMIFS(ARF[Amount in Euro], ARF[Co Director],budgetMilestone3[director], ARF[Category], budgetMilestone3[Category], ARF[Date], "&gt;" &amp; cleanDateMilestone2,ARF[Date], "&lt;=" &amp; cleanDateMilestone3)</f>
        <v>0</v>
      </c>
      <c r="M35" s="123">
        <f ca="1">'Milestone 3'!$E35</f>
        <v>0</v>
      </c>
      <c r="N35" s="123">
        <f ca="1">'Milestone 3'!$F35</f>
        <v>0</v>
      </c>
      <c r="O35" s="122">
        <f ca="1">SUM(budgetMilestone3[[#This Row],[Milestone 1]:[Final]])</f>
        <v>0</v>
      </c>
      <c r="P35" s="60">
        <f>ROW()-ROW(budgetMilestone3[#Headers])</f>
        <v>18</v>
      </c>
      <c r="Q35" s="60">
        <f>IF(budgetMilestone3[row] &lt;= numCategories +3, budgetMilestone3[row]-1, MOD(budgetMilestone3[row]-1,numCategories+3) + IF(MOD(budgetMilestone3[row]-2,numCategories+2)&gt;numCategories+1, 1,0))</f>
        <v>6</v>
      </c>
      <c r="R35" s="60">
        <f>IFERROR(INDEX(directors[Last],MAX(1,FLOOR((budgetMilestone3[row]-1)/(numCategories+3)+1,1))),1)</f>
        <v>0</v>
      </c>
    </row>
    <row r="36" spans="1:18" ht="15" customHeight="1" x14ac:dyDescent="0.25">
      <c r="A36" s="105" t="str">
        <f ca="1"/>
        <v>Stipends</v>
      </c>
      <c r="B36" s="105">
        <f ca="1"/>
        <v>0</v>
      </c>
      <c r="C36" s="105">
        <f ca="1"/>
        <v>0</v>
      </c>
      <c r="D36" s="105">
        <f ca="1"/>
        <v>0</v>
      </c>
      <c r="E36" s="105">
        <f ca="1"/>
        <v>0</v>
      </c>
      <c r="F36" s="105">
        <f ca="1"/>
        <v>0</v>
      </c>
      <c r="G36" s="105">
        <f ca="1"/>
        <v>0</v>
      </c>
      <c r="H36" s="60"/>
      <c r="I36"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Stipends</v>
      </c>
      <c r="J36" s="122">
        <f>budgetMilestone1[[#This Row],[Milestone 1]]</f>
        <v>0</v>
      </c>
      <c r="K36" s="122">
        <f>budgetMilestone2[[#This Row],[Milestone 2]]</f>
        <v>0</v>
      </c>
      <c r="L36" s="122">
        <f>SUMIFS(ARF[Amount in Euro], ARF[Co Director],budgetMilestone3[director], ARF[Category], budgetMilestone3[Category], ARF[Date], "&gt;" &amp; cleanDateMilestone2,ARF[Date], "&lt;=" &amp; cleanDateMilestone3)</f>
        <v>0</v>
      </c>
      <c r="M36" s="123">
        <f ca="1">'Milestone 3'!$E36</f>
        <v>0</v>
      </c>
      <c r="N36" s="123">
        <f ca="1">'Milestone 3'!$F36</f>
        <v>0</v>
      </c>
      <c r="O36" s="122">
        <f ca="1">SUM(budgetMilestone3[[#This Row],[Milestone 1]:[Final]])</f>
        <v>0</v>
      </c>
      <c r="P36" s="60">
        <f>ROW()-ROW(budgetMilestone3[#Headers])</f>
        <v>19</v>
      </c>
      <c r="Q36" s="60">
        <f>IF(budgetMilestone3[row] &lt;= numCategories +3, budgetMilestone3[row]-1, MOD(budgetMilestone3[row]-1,numCategories+3) + IF(MOD(budgetMilestone3[row]-2,numCategories+2)&gt;numCategories+1, 1,0))</f>
        <v>7</v>
      </c>
      <c r="R36" s="60">
        <f>IFERROR(INDEX(directors[Last],MAX(1,FLOOR((budgetMilestone3[row]-1)/(numCategories+3)+1,1))),1)</f>
        <v>0</v>
      </c>
    </row>
    <row r="37" spans="1:18" ht="15" customHeight="1" x14ac:dyDescent="0.25">
      <c r="A37" s="105" t="str">
        <f ca="1"/>
        <v>Co-financing of personnel</v>
      </c>
      <c r="B37" s="105">
        <f ca="1"/>
        <v>0</v>
      </c>
      <c r="C37" s="105">
        <f ca="1"/>
        <v>0</v>
      </c>
      <c r="D37" s="105">
        <f ca="1"/>
        <v>0</v>
      </c>
      <c r="E37" s="105">
        <f ca="1"/>
        <v>0</v>
      </c>
      <c r="F37" s="105">
        <f ca="1"/>
        <v>0</v>
      </c>
      <c r="G37" s="105">
        <f ca="1"/>
        <v>0</v>
      </c>
      <c r="H37" s="60"/>
      <c r="I37"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Co-financing of personnel</v>
      </c>
      <c r="J37" s="122">
        <f>budgetMilestone1[[#This Row],[Milestone 1]]</f>
        <v>0</v>
      </c>
      <c r="K37" s="122">
        <f>budgetMilestone2[[#This Row],[Milestone 2]]</f>
        <v>0</v>
      </c>
      <c r="L37" s="122">
        <f>SUMIFS(ARF[Amount in Euro], ARF[Co Director],budgetMilestone3[director], ARF[Category], budgetMilestone3[Category], ARF[Date], "&gt;" &amp; cleanDateMilestone2,ARF[Date], "&lt;=" &amp; cleanDateMilestone3)</f>
        <v>0</v>
      </c>
      <c r="M37" s="123">
        <f ca="1">'Milestone 3'!$E37</f>
        <v>0</v>
      </c>
      <c r="N37" s="123">
        <f ca="1">'Milestone 3'!$F37</f>
        <v>0</v>
      </c>
      <c r="O37" s="122">
        <f ca="1">SUM(budgetMilestone3[[#This Row],[Milestone 1]:[Final]])</f>
        <v>0</v>
      </c>
      <c r="P37" s="60">
        <f>ROW()-ROW(budgetMilestone3[#Headers])</f>
        <v>20</v>
      </c>
      <c r="Q37" s="60">
        <f>IF(budgetMilestone3[row] &lt;= numCategories +3, budgetMilestone3[row]-1, MOD(budgetMilestone3[row]-1,numCategories+3) + IF(MOD(budgetMilestone3[row]-2,numCategories+2)&gt;numCategories+1, 1,0))</f>
        <v>8</v>
      </c>
      <c r="R37" s="60">
        <f>IFERROR(INDEX(directors[Last],MAX(1,FLOOR((budgetMilestone3[row]-1)/(numCategories+3)+1,1))),1)</f>
        <v>0</v>
      </c>
    </row>
    <row r="38" spans="1:18" ht="15" customHeight="1" x14ac:dyDescent="0.25">
      <c r="A38" s="105" t="str">
        <f ca="1"/>
        <v>Subtotal 0</v>
      </c>
      <c r="B38" s="105">
        <f ca="1"/>
        <v>0</v>
      </c>
      <c r="C38" s="105">
        <f ca="1"/>
        <v>0</v>
      </c>
      <c r="D38" s="105">
        <f ca="1"/>
        <v>0</v>
      </c>
      <c r="E38" s="105">
        <f ca="1"/>
        <v>0</v>
      </c>
      <c r="F38" s="105">
        <f ca="1"/>
        <v>0</v>
      </c>
      <c r="G38" s="105">
        <f ca="1"/>
        <v>0</v>
      </c>
      <c r="H38" s="60"/>
      <c r="I38"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Subtotal 0</v>
      </c>
      <c r="J38" s="122">
        <f>budgetMilestone1[[#This Row],[Milestone 1]]</f>
        <v>0</v>
      </c>
      <c r="K38" s="122">
        <f>budgetMilestone2[[#This Row],[Milestone 2]]</f>
        <v>0</v>
      </c>
      <c r="L38" s="122">
        <f>SUBTOTAL(9,L30:L37)</f>
        <v>0</v>
      </c>
      <c r="M38" s="122">
        <f ca="1">SUBTOTAL(9,M30:M37)</f>
        <v>0</v>
      </c>
      <c r="N38" s="122">
        <f ca="1">SUBTOTAL(9,N30:N37)</f>
        <v>0</v>
      </c>
      <c r="O38" s="122">
        <f ca="1">SUBTOTAL(9,O30:O37)</f>
        <v>0</v>
      </c>
      <c r="P38" s="60">
        <f>ROW()-ROW(budgetMilestone3[#Headers])</f>
        <v>21</v>
      </c>
      <c r="Q38" s="60">
        <f>IF(budgetMilestone3[row] &lt;= numCategories +3, budgetMilestone3[row]-1, MOD(budgetMilestone3[row]-1,numCategories+3) + IF(MOD(budgetMilestone3[row]-2,numCategories+2)&gt;numCategories+1, 1,0))</f>
        <v>9</v>
      </c>
      <c r="R38" s="60">
        <f>IFERROR(INDEX(directors[Last],MAX(1,FLOOR((budgetMilestone3[row]-1)/(numCategories+3)+1,1))),1)</f>
        <v>0</v>
      </c>
    </row>
    <row r="39" spans="1:18" ht="15" customHeight="1" x14ac:dyDescent="0.25">
      <c r="A39" s="105" t="str">
        <f ca="1"/>
        <v/>
      </c>
      <c r="B39" s="105">
        <f ca="1"/>
        <v>0</v>
      </c>
      <c r="C39" s="105">
        <f ca="1"/>
        <v>0</v>
      </c>
      <c r="D39" s="105">
        <f ca="1"/>
        <v>0</v>
      </c>
      <c r="E39" s="105">
        <f ca="1"/>
        <v>0</v>
      </c>
      <c r="F39" s="105">
        <f ca="1"/>
        <v>0</v>
      </c>
      <c r="G39" s="105">
        <f ca="1"/>
        <v>0</v>
      </c>
      <c r="H39" s="60"/>
      <c r="I39"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c>
      <c r="J39" s="122">
        <f>budgetMilestone1[[#This Row],[Milestone 1]]</f>
        <v>0</v>
      </c>
      <c r="K39" s="122">
        <f>budgetMilestone2[[#This Row],[Milestone 2]]</f>
        <v>0</v>
      </c>
      <c r="L39" s="122"/>
      <c r="M39" s="122"/>
      <c r="N39" s="122"/>
      <c r="O39" s="122"/>
      <c r="P39" s="60">
        <f>ROW()-ROW(budgetMilestone3[#Headers])</f>
        <v>22</v>
      </c>
      <c r="Q39" s="60">
        <f>IF(budgetMilestone3[row] &lt;= numCategories +3, budgetMilestone3[row]-1, MOD(budgetMilestone3[row]-1,numCategories+3) + IF(MOD(budgetMilestone3[row]-2,numCategories+2)&gt;numCategories+1, 1,0))</f>
        <v>10</v>
      </c>
      <c r="R39" s="60">
        <f>IFERROR(INDEX(directors[Last],MAX(1,FLOOR((budgetMilestone3[row]-1)/(numCategories+3)+1,1))),1)</f>
        <v>0</v>
      </c>
    </row>
    <row r="40" spans="1:18" ht="15" customHeight="1" x14ac:dyDescent="0.25">
      <c r="A40" s="105" t="str">
        <f ca="1"/>
        <v xml:space="preserve">0 / </v>
      </c>
      <c r="B40" s="105">
        <f ca="1"/>
        <v>0</v>
      </c>
      <c r="C40" s="105">
        <f ca="1"/>
        <v>0</v>
      </c>
      <c r="D40" s="105">
        <f ca="1"/>
        <v>0</v>
      </c>
      <c r="E40" s="105">
        <f ca="1"/>
        <v>0</v>
      </c>
      <c r="F40" s="105">
        <f ca="1"/>
        <v>0</v>
      </c>
      <c r="G40" s="105">
        <f ca="1"/>
        <v>0</v>
      </c>
      <c r="H40" s="60"/>
      <c r="I40"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xml:space="preserve">0 / </v>
      </c>
      <c r="J40" s="122">
        <f>budgetMilestone1[[#This Row],[Milestone 1]]</f>
        <v>0</v>
      </c>
      <c r="K40" s="122">
        <f>budgetMilestone2[[#This Row],[Milestone 2]]</f>
        <v>0</v>
      </c>
      <c r="L40" s="122">
        <f>SUMIFS(ARF[Amount in Euro], ARF[Co Director],budgetMilestone3[director], ARF[Category], budgetMilestone3[Category], ARF[Date], "&gt;" &amp; cleanDateMilestone2,ARF[Date], "&lt;=" &amp; cleanDateMilestone3)</f>
        <v>0</v>
      </c>
      <c r="M40" s="122"/>
      <c r="N40" s="122"/>
      <c r="O40" s="122">
        <f>SUM(budgetMilestone3[[#This Row],[Milestone 1]:[Final]])</f>
        <v>0</v>
      </c>
      <c r="P40" s="60">
        <f>ROW()-ROW(budgetMilestone3[#Headers])</f>
        <v>23</v>
      </c>
      <c r="Q40" s="60">
        <f>IF(budgetMilestone3[row] &lt;= numCategories +3, budgetMilestone3[row]-1, MOD(budgetMilestone3[row]-1,numCategories+3) + IF(MOD(budgetMilestone3[row]-2,numCategories+2)&gt;numCategories+1, 1,0))</f>
        <v>0</v>
      </c>
      <c r="R40" s="60">
        <f>IFERROR(INDEX(directors[Last],MAX(1,FLOOR((budgetMilestone3[row]-1)/(numCategories+3)+1,1))),1)</f>
        <v>0</v>
      </c>
    </row>
    <row r="41" spans="1:18" ht="15" customHeight="1" x14ac:dyDescent="0.25">
      <c r="A41" s="105" t="str">
        <f ca="1"/>
        <v>Equipment</v>
      </c>
      <c r="B41" s="105">
        <f ca="1"/>
        <v>0</v>
      </c>
      <c r="C41" s="105">
        <f ca="1"/>
        <v>0</v>
      </c>
      <c r="D41" s="105">
        <f ca="1"/>
        <v>0</v>
      </c>
      <c r="E41" s="105">
        <f ca="1"/>
        <v>0</v>
      </c>
      <c r="F41" s="105">
        <f ca="1"/>
        <v>0</v>
      </c>
      <c r="G41" s="105">
        <f ca="1"/>
        <v>0</v>
      </c>
      <c r="H41" s="60"/>
      <c r="I41"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Equipment</v>
      </c>
      <c r="J41" s="122">
        <f>budgetMilestone1[[#This Row],[Milestone 1]]</f>
        <v>0</v>
      </c>
      <c r="K41" s="122">
        <f>budgetMilestone2[[#This Row],[Milestone 2]]</f>
        <v>0</v>
      </c>
      <c r="L41" s="122">
        <f>SUMIFS(ARF[Amount in Euro], ARF[Co Director],budgetMilestone3[director], ARF[Category], budgetMilestone3[Category], ARF[Date], "&gt;" &amp; cleanDateMilestone2,ARF[Date], "&lt;=" &amp; cleanDateMilestone3)</f>
        <v>0</v>
      </c>
      <c r="M41" s="123">
        <f ca="1">'Milestone 3'!$E41</f>
        <v>0</v>
      </c>
      <c r="N41" s="123">
        <f ca="1">'Milestone 3'!$F41</f>
        <v>0</v>
      </c>
      <c r="O41" s="122">
        <f ca="1">SUM(budgetMilestone3[[#This Row],[Milestone 1]:[Final]])</f>
        <v>0</v>
      </c>
      <c r="P41" s="60">
        <f>ROW()-ROW(budgetMilestone3[#Headers])</f>
        <v>24</v>
      </c>
      <c r="Q41" s="60">
        <f>IF(budgetMilestone3[row] &lt;= numCategories +3, budgetMilestone3[row]-1, MOD(budgetMilestone3[row]-1,numCategories+3) + IF(MOD(budgetMilestone3[row]-2,numCategories+2)&gt;numCategories+1, 1,0))</f>
        <v>1</v>
      </c>
      <c r="R41" s="60">
        <f>IFERROR(INDEX(directors[Last],MAX(1,FLOOR((budgetMilestone3[row]-1)/(numCategories+3)+1,1))),1)</f>
        <v>0</v>
      </c>
    </row>
    <row r="42" spans="1:18" ht="15" customHeight="1" x14ac:dyDescent="0.25">
      <c r="A42" s="105" t="str">
        <f ca="1"/>
        <v>Training</v>
      </c>
      <c r="B42" s="105">
        <f ca="1"/>
        <v>0</v>
      </c>
      <c r="C42" s="105">
        <f ca="1"/>
        <v>0</v>
      </c>
      <c r="D42" s="105">
        <f ca="1"/>
        <v>0</v>
      </c>
      <c r="E42" s="105">
        <f ca="1"/>
        <v>0</v>
      </c>
      <c r="F42" s="105">
        <f ca="1"/>
        <v>0</v>
      </c>
      <c r="G42" s="105">
        <f ca="1"/>
        <v>0</v>
      </c>
      <c r="H42" s="60"/>
      <c r="I42"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Training</v>
      </c>
      <c r="J42" s="122">
        <f>budgetMilestone1[[#This Row],[Milestone 1]]</f>
        <v>0</v>
      </c>
      <c r="K42" s="122">
        <f>budgetMilestone2[[#This Row],[Milestone 2]]</f>
        <v>0</v>
      </c>
      <c r="L42" s="122">
        <f>SUMIFS(ARF[Amount in Euro], ARF[Co Director],budgetMilestone3[director], ARF[Category], budgetMilestone3[Category], ARF[Date], "&gt;" &amp; cleanDateMilestone2,ARF[Date], "&lt;=" &amp; cleanDateMilestone3)</f>
        <v>0</v>
      </c>
      <c r="M42" s="123">
        <f ca="1">'Milestone 3'!$E42</f>
        <v>0</v>
      </c>
      <c r="N42" s="123">
        <f ca="1">'Milestone 3'!$F42</f>
        <v>0</v>
      </c>
      <c r="O42" s="122">
        <f ca="1">SUM(budgetMilestone3[[#This Row],[Milestone 1]:[Final]])</f>
        <v>0</v>
      </c>
      <c r="P42" s="60">
        <f>ROW()-ROW(budgetMilestone3[#Headers])</f>
        <v>25</v>
      </c>
      <c r="Q42" s="60">
        <f>IF(budgetMilestone3[row] &lt;= numCategories +3, budgetMilestone3[row]-1, MOD(budgetMilestone3[row]-1,numCategories+3) + IF(MOD(budgetMilestone3[row]-2,numCategories+2)&gt;numCategories+1, 1,0))</f>
        <v>2</v>
      </c>
      <c r="R42" s="60">
        <f>IFERROR(INDEX(directors[Last],MAX(1,FLOOR((budgetMilestone3[row]-1)/(numCategories+3)+1,1))),1)</f>
        <v>0</v>
      </c>
    </row>
    <row r="43" spans="1:18" ht="15" customHeight="1" x14ac:dyDescent="0.25">
      <c r="A43" s="105" t="str">
        <f ca="1"/>
        <v>Communication &amp; Publication</v>
      </c>
      <c r="B43" s="105">
        <f ca="1"/>
        <v>0</v>
      </c>
      <c r="C43" s="105">
        <f ca="1"/>
        <v>0</v>
      </c>
      <c r="D43" s="105">
        <f ca="1"/>
        <v>0</v>
      </c>
      <c r="E43" s="105">
        <f ca="1"/>
        <v>0</v>
      </c>
      <c r="F43" s="105">
        <f ca="1"/>
        <v>0</v>
      </c>
      <c r="G43" s="105">
        <f ca="1"/>
        <v>0</v>
      </c>
      <c r="H43" s="60"/>
      <c r="I43"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Communication &amp; Publication</v>
      </c>
      <c r="J43" s="122">
        <f>budgetMilestone1[[#This Row],[Milestone 1]]</f>
        <v>0</v>
      </c>
      <c r="K43" s="122">
        <f>budgetMilestone2[[#This Row],[Milestone 2]]</f>
        <v>0</v>
      </c>
      <c r="L43" s="122">
        <f>SUMIFS(ARF[Amount in Euro], ARF[Co Director],budgetMilestone3[director], ARF[Category], budgetMilestone3[Category], ARF[Date], "&gt;" &amp; cleanDateMilestone2,ARF[Date], "&lt;=" &amp; cleanDateMilestone3)</f>
        <v>0</v>
      </c>
      <c r="M43" s="123">
        <f ca="1">'Milestone 3'!$E43</f>
        <v>0</v>
      </c>
      <c r="N43" s="123">
        <f ca="1">'Milestone 3'!$F43</f>
        <v>0</v>
      </c>
      <c r="O43" s="122">
        <f ca="1">SUM(budgetMilestone3[[#This Row],[Milestone 1]:[Final]])</f>
        <v>0</v>
      </c>
      <c r="P43" s="60">
        <f>ROW()-ROW(budgetMilestone3[#Headers])</f>
        <v>26</v>
      </c>
      <c r="Q43" s="60">
        <f>IF(budgetMilestone3[row] &lt;= numCategories +3, budgetMilestone3[row]-1, MOD(budgetMilestone3[row]-1,numCategories+3) + IF(MOD(budgetMilestone3[row]-2,numCategories+2)&gt;numCategories+1, 1,0))</f>
        <v>3</v>
      </c>
      <c r="R43" s="60">
        <f>IFERROR(INDEX(directors[Last],MAX(1,FLOOR((budgetMilestone3[row]-1)/(numCategories+3)+1,1))),1)</f>
        <v>0</v>
      </c>
    </row>
    <row r="44" spans="1:18" ht="15" customHeight="1" x14ac:dyDescent="0.25">
      <c r="A44" s="105" t="str">
        <f ca="1"/>
        <v>Travel</v>
      </c>
      <c r="B44" s="105">
        <f ca="1"/>
        <v>0</v>
      </c>
      <c r="C44" s="105">
        <f ca="1"/>
        <v>0</v>
      </c>
      <c r="D44" s="105">
        <f ca="1"/>
        <v>0</v>
      </c>
      <c r="E44" s="105">
        <f ca="1"/>
        <v>0</v>
      </c>
      <c r="F44" s="105">
        <f ca="1"/>
        <v>0</v>
      </c>
      <c r="G44" s="105">
        <f ca="1"/>
        <v>0</v>
      </c>
      <c r="H44" s="60"/>
      <c r="I44"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Travel</v>
      </c>
      <c r="J44" s="122">
        <f>budgetMilestone1[[#This Row],[Milestone 1]]</f>
        <v>0</v>
      </c>
      <c r="K44" s="122">
        <f>budgetMilestone2[[#This Row],[Milestone 2]]</f>
        <v>0</v>
      </c>
      <c r="L44" s="122">
        <f>SUMIFS(ARF[Amount in Euro], ARF[Co Director],budgetMilestone3[director], ARF[Category], budgetMilestone3[Category], ARF[Date], "&gt;" &amp; cleanDateMilestone2,ARF[Date], "&lt;=" &amp; cleanDateMilestone3)</f>
        <v>0</v>
      </c>
      <c r="M44" s="123">
        <f ca="1">'Milestone 3'!$E44</f>
        <v>0</v>
      </c>
      <c r="N44" s="123">
        <f ca="1">'Milestone 3'!$F44</f>
        <v>0</v>
      </c>
      <c r="O44" s="122">
        <f ca="1">SUM(budgetMilestone3[[#This Row],[Milestone 1]:[Final]])</f>
        <v>0</v>
      </c>
      <c r="P44" s="60">
        <f>ROW()-ROW(budgetMilestone3[#Headers])</f>
        <v>27</v>
      </c>
      <c r="Q44" s="60">
        <f>IF(budgetMilestone3[row] &lt;= numCategories +3, budgetMilestone3[row]-1, MOD(budgetMilestone3[row]-1,numCategories+3) + IF(MOD(budgetMilestone3[row]-2,numCategories+2)&gt;numCategories+1, 1,0))</f>
        <v>4</v>
      </c>
      <c r="R44" s="60">
        <f>IFERROR(INDEX(directors[Last],MAX(1,FLOOR((budgetMilestone3[row]-1)/(numCategories+3)+1,1))),1)</f>
        <v>0</v>
      </c>
    </row>
    <row r="45" spans="1:18" ht="15" customHeight="1" x14ac:dyDescent="0.25">
      <c r="A45" s="105" t="str">
        <f ca="1"/>
        <v>Consumables</v>
      </c>
      <c r="B45" s="105">
        <f ca="1"/>
        <v>0</v>
      </c>
      <c r="C45" s="105">
        <f ca="1"/>
        <v>0</v>
      </c>
      <c r="D45" s="105">
        <f ca="1"/>
        <v>0</v>
      </c>
      <c r="E45" s="105">
        <f ca="1"/>
        <v>0</v>
      </c>
      <c r="F45" s="105">
        <f ca="1"/>
        <v>0</v>
      </c>
      <c r="G45" s="105">
        <f ca="1"/>
        <v>0</v>
      </c>
      <c r="H45" s="60"/>
      <c r="I45"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Consumables</v>
      </c>
      <c r="J45" s="122">
        <f>budgetMilestone1[[#This Row],[Milestone 1]]</f>
        <v>0</v>
      </c>
      <c r="K45" s="122">
        <f>budgetMilestone2[[#This Row],[Milestone 2]]</f>
        <v>0</v>
      </c>
      <c r="L45" s="122">
        <f>SUMIFS(ARF[Amount in Euro], ARF[Co Director],budgetMilestone3[director], ARF[Category], budgetMilestone3[Category], ARF[Date], "&gt;" &amp; cleanDateMilestone2,ARF[Date], "&lt;=" &amp; cleanDateMilestone3)</f>
        <v>0</v>
      </c>
      <c r="M45" s="123">
        <f ca="1">'Milestone 3'!$E45</f>
        <v>0</v>
      </c>
      <c r="N45" s="123">
        <f ca="1">'Milestone 3'!$F45</f>
        <v>0</v>
      </c>
      <c r="O45" s="122">
        <f ca="1">SUM(budgetMilestone3[[#This Row],[Milestone 1]:[Final]])</f>
        <v>0</v>
      </c>
      <c r="P45" s="60">
        <f>ROW()-ROW(budgetMilestone3[#Headers])</f>
        <v>28</v>
      </c>
      <c r="Q45" s="60">
        <f>IF(budgetMilestone3[row] &lt;= numCategories +3, budgetMilestone3[row]-1, MOD(budgetMilestone3[row]-1,numCategories+3) + IF(MOD(budgetMilestone3[row]-2,numCategories+2)&gt;numCategories+1, 1,0))</f>
        <v>5</v>
      </c>
      <c r="R45" s="60">
        <f>IFERROR(INDEX(directors[Last],MAX(1,FLOOR((budgetMilestone3[row]-1)/(numCategories+3)+1,1))),1)</f>
        <v>0</v>
      </c>
    </row>
    <row r="46" spans="1:18" ht="15" customHeight="1" x14ac:dyDescent="0.25">
      <c r="A46" s="105" t="str">
        <f ca="1"/>
        <v>Other</v>
      </c>
      <c r="B46" s="105">
        <f ca="1"/>
        <v>0</v>
      </c>
      <c r="C46" s="105">
        <f ca="1"/>
        <v>0</v>
      </c>
      <c r="D46" s="105">
        <f ca="1"/>
        <v>0</v>
      </c>
      <c r="E46" s="105">
        <f ca="1"/>
        <v>0</v>
      </c>
      <c r="F46" s="105">
        <f ca="1"/>
        <v>0</v>
      </c>
      <c r="G46" s="105">
        <f ca="1"/>
        <v>0</v>
      </c>
      <c r="H46" s="60"/>
      <c r="I46"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Other</v>
      </c>
      <c r="J46" s="122">
        <f>budgetMilestone1[[#This Row],[Milestone 1]]</f>
        <v>0</v>
      </c>
      <c r="K46" s="122">
        <f>budgetMilestone2[[#This Row],[Milestone 2]]</f>
        <v>0</v>
      </c>
      <c r="L46" s="122">
        <f>SUMIFS(ARF[Amount in Euro], ARF[Co Director],budgetMilestone3[director], ARF[Category], budgetMilestone3[Category], ARF[Date], "&gt;" &amp; cleanDateMilestone2,ARF[Date], "&lt;=" &amp; cleanDateMilestone3)</f>
        <v>0</v>
      </c>
      <c r="M46" s="123">
        <f ca="1">'Milestone 3'!$E46</f>
        <v>0</v>
      </c>
      <c r="N46" s="123">
        <f ca="1">'Milestone 3'!$F46</f>
        <v>0</v>
      </c>
      <c r="O46" s="122">
        <f ca="1">SUM(budgetMilestone3[[#This Row],[Milestone 1]:[Final]])</f>
        <v>0</v>
      </c>
      <c r="P46" s="60">
        <f>ROW()-ROW(budgetMilestone3[#Headers])</f>
        <v>29</v>
      </c>
      <c r="Q46" s="60">
        <f>IF(budgetMilestone3[row] &lt;= numCategories +3, budgetMilestone3[row]-1, MOD(budgetMilestone3[row]-1,numCategories+3) + IF(MOD(budgetMilestone3[row]-2,numCategories+2)&gt;numCategories+1, 1,0))</f>
        <v>6</v>
      </c>
      <c r="R46" s="60">
        <f>IFERROR(INDEX(directors[Last],MAX(1,FLOOR((budgetMilestone3[row]-1)/(numCategories+3)+1,1))),1)</f>
        <v>0</v>
      </c>
    </row>
    <row r="47" spans="1:18" ht="15" customHeight="1" x14ac:dyDescent="0.25">
      <c r="A47" s="105" t="str">
        <f ca="1"/>
        <v>Stipends</v>
      </c>
      <c r="B47" s="105">
        <f ca="1"/>
        <v>0</v>
      </c>
      <c r="C47" s="105">
        <f ca="1"/>
        <v>0</v>
      </c>
      <c r="D47" s="105">
        <f ca="1"/>
        <v>0</v>
      </c>
      <c r="E47" s="105">
        <f ca="1"/>
        <v>0</v>
      </c>
      <c r="F47" s="105">
        <f ca="1"/>
        <v>0</v>
      </c>
      <c r="G47" s="105">
        <f ca="1"/>
        <v>0</v>
      </c>
      <c r="H47" s="60"/>
      <c r="I47"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Stipends</v>
      </c>
      <c r="J47" s="122">
        <f>budgetMilestone1[[#This Row],[Milestone 1]]</f>
        <v>0</v>
      </c>
      <c r="K47" s="122">
        <f>budgetMilestone2[[#This Row],[Milestone 2]]</f>
        <v>0</v>
      </c>
      <c r="L47" s="122">
        <f>SUMIFS(ARF[Amount in Euro], ARF[Co Director],budgetMilestone3[director], ARF[Category], budgetMilestone3[Category], ARF[Date], "&gt;" &amp; cleanDateMilestone2,ARF[Date], "&lt;=" &amp; cleanDateMilestone3)</f>
        <v>0</v>
      </c>
      <c r="M47" s="123">
        <f ca="1">'Milestone 3'!$E47</f>
        <v>0</v>
      </c>
      <c r="N47" s="123">
        <f ca="1">'Milestone 3'!$F47</f>
        <v>0</v>
      </c>
      <c r="O47" s="122">
        <f ca="1">SUM(budgetMilestone3[[#This Row],[Milestone 1]:[Final]])</f>
        <v>0</v>
      </c>
      <c r="P47" s="60">
        <f>ROW()-ROW(budgetMilestone3[#Headers])</f>
        <v>30</v>
      </c>
      <c r="Q47" s="60">
        <f>IF(budgetMilestone3[row] &lt;= numCategories +3, budgetMilestone3[row]-1, MOD(budgetMilestone3[row]-1,numCategories+3) + IF(MOD(budgetMilestone3[row]-2,numCategories+2)&gt;numCategories+1, 1,0))</f>
        <v>7</v>
      </c>
      <c r="R47" s="60">
        <f>IFERROR(INDEX(directors[Last],MAX(1,FLOOR((budgetMilestone3[row]-1)/(numCategories+3)+1,1))),1)</f>
        <v>0</v>
      </c>
    </row>
    <row r="48" spans="1:18" ht="15" customHeight="1" x14ac:dyDescent="0.25">
      <c r="A48" s="105" t="str">
        <f ca="1"/>
        <v>Co-financing of personnel</v>
      </c>
      <c r="B48" s="105">
        <f ca="1"/>
        <v>0</v>
      </c>
      <c r="C48" s="105">
        <f ca="1"/>
        <v>0</v>
      </c>
      <c r="D48" s="105">
        <f ca="1"/>
        <v>0</v>
      </c>
      <c r="E48" s="105">
        <f ca="1"/>
        <v>0</v>
      </c>
      <c r="F48" s="105">
        <f ca="1"/>
        <v>0</v>
      </c>
      <c r="G48" s="105">
        <f ca="1"/>
        <v>0</v>
      </c>
      <c r="H48" s="60"/>
      <c r="I48"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Co-financing of personnel</v>
      </c>
      <c r="J48" s="122">
        <f>budgetMilestone1[[#This Row],[Milestone 1]]</f>
        <v>0</v>
      </c>
      <c r="K48" s="122">
        <f>budgetMilestone2[[#This Row],[Milestone 2]]</f>
        <v>0</v>
      </c>
      <c r="L48" s="122">
        <f>SUMIFS(ARF[Amount in Euro], ARF[Co Director],budgetMilestone3[director], ARF[Category], budgetMilestone3[Category], ARF[Date], "&gt;" &amp; cleanDateMilestone2,ARF[Date], "&lt;=" &amp; cleanDateMilestone3)</f>
        <v>0</v>
      </c>
      <c r="M48" s="123">
        <f ca="1">'Milestone 3'!$E48</f>
        <v>0</v>
      </c>
      <c r="N48" s="123">
        <f ca="1">'Milestone 3'!$F48</f>
        <v>0</v>
      </c>
      <c r="O48" s="122">
        <f ca="1">SUM(budgetMilestone3[[#This Row],[Milestone 1]:[Final]])</f>
        <v>0</v>
      </c>
      <c r="P48" s="60">
        <f>ROW()-ROW(budgetMilestone3[#Headers])</f>
        <v>31</v>
      </c>
      <c r="Q48" s="60">
        <f>IF(budgetMilestone3[row] &lt;= numCategories +3, budgetMilestone3[row]-1, MOD(budgetMilestone3[row]-1,numCategories+3) + IF(MOD(budgetMilestone3[row]-2,numCategories+2)&gt;numCategories+1, 1,0))</f>
        <v>8</v>
      </c>
      <c r="R48" s="60">
        <f>IFERROR(INDEX(directors[Last],MAX(1,FLOOR((budgetMilestone3[row]-1)/(numCategories+3)+1,1))),1)</f>
        <v>0</v>
      </c>
    </row>
    <row r="49" spans="1:18" ht="15" customHeight="1" x14ac:dyDescent="0.25">
      <c r="A49" s="105" t="str">
        <f ca="1"/>
        <v>Subtotal 0</v>
      </c>
      <c r="B49" s="105">
        <f ca="1"/>
        <v>0</v>
      </c>
      <c r="C49" s="105">
        <f ca="1"/>
        <v>0</v>
      </c>
      <c r="D49" s="105">
        <f ca="1"/>
        <v>0</v>
      </c>
      <c r="E49" s="105">
        <f ca="1"/>
        <v>0</v>
      </c>
      <c r="F49" s="105">
        <f ca="1"/>
        <v>0</v>
      </c>
      <c r="G49" s="105">
        <f ca="1"/>
        <v>0</v>
      </c>
      <c r="H49" s="60"/>
      <c r="I49"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Subtotal 0</v>
      </c>
      <c r="J49" s="122">
        <f>budgetMilestone1[[#This Row],[Milestone 1]]</f>
        <v>0</v>
      </c>
      <c r="K49" s="122">
        <f>budgetMilestone2[[#This Row],[Milestone 2]]</f>
        <v>0</v>
      </c>
      <c r="L49" s="122">
        <f t="shared" ref="L49:O49" si="1">SUBTOTAL(9,L41:L48)</f>
        <v>0</v>
      </c>
      <c r="M49" s="122">
        <f t="shared" ca="1" si="1"/>
        <v>0</v>
      </c>
      <c r="N49" s="122">
        <f t="shared" ca="1" si="1"/>
        <v>0</v>
      </c>
      <c r="O49" s="122">
        <f t="shared" ca="1" si="1"/>
        <v>0</v>
      </c>
      <c r="P49" s="60">
        <f>ROW()-ROW(budgetMilestone3[#Headers])</f>
        <v>32</v>
      </c>
      <c r="Q49" s="60">
        <f>IF(budgetMilestone3[row] &lt;= numCategories +3, budgetMilestone3[row]-1, MOD(budgetMilestone3[row]-1,numCategories+3) + IF(MOD(budgetMilestone3[row]-2,numCategories+2)&gt;numCategories+1, 1,0))</f>
        <v>9</v>
      </c>
      <c r="R49" s="60">
        <f>IFERROR(INDEX(directors[Last],MAX(1,FLOOR((budgetMilestone3[row]-1)/(numCategories+3)+1,1))),1)</f>
        <v>0</v>
      </c>
    </row>
    <row r="50" spans="1:18" ht="15" customHeight="1" x14ac:dyDescent="0.25">
      <c r="A50" s="105" t="str">
        <f ca="1"/>
        <v/>
      </c>
      <c r="B50" s="105">
        <f ca="1"/>
        <v>0</v>
      </c>
      <c r="C50" s="105">
        <f ca="1"/>
        <v>0</v>
      </c>
      <c r="D50" s="105">
        <f ca="1"/>
        <v>0</v>
      </c>
      <c r="E50" s="105">
        <f ca="1"/>
        <v>0</v>
      </c>
      <c r="F50" s="105">
        <f ca="1"/>
        <v>0</v>
      </c>
      <c r="G50" s="105">
        <f ca="1"/>
        <v>0</v>
      </c>
      <c r="H50" s="60"/>
      <c r="I50"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c>
      <c r="J50" s="122">
        <f>budgetMilestone1[[#This Row],[Milestone 1]]</f>
        <v>0</v>
      </c>
      <c r="K50" s="122">
        <f>budgetMilestone2[[#This Row],[Milestone 2]]</f>
        <v>0</v>
      </c>
      <c r="L50" s="122"/>
      <c r="M50" s="122"/>
      <c r="N50" s="122"/>
      <c r="O50" s="122">
        <f>SUM(budgetMilestone3[[#This Row],[Milestone 1]:[Final]])</f>
        <v>0</v>
      </c>
      <c r="P50" s="60">
        <f>ROW()-ROW(budgetMilestone3[#Headers])</f>
        <v>33</v>
      </c>
      <c r="Q50" s="60">
        <f>IF(budgetMilestone3[row] &lt;= numCategories +3, budgetMilestone3[row]-1, MOD(budgetMilestone3[row]-1,numCategories+3) + IF(MOD(budgetMilestone3[row]-2,numCategories+2)&gt;numCategories+1, 1,0))</f>
        <v>10</v>
      </c>
      <c r="R50" s="60">
        <f>IFERROR(INDEX(directors[Last],MAX(1,FLOOR((budgetMilestone3[row]-1)/(numCategories+3)+1,1))),1)</f>
        <v>0</v>
      </c>
    </row>
    <row r="51" spans="1:18" ht="15" customHeight="1" x14ac:dyDescent="0.25">
      <c r="A51" s="105" t="str">
        <f ca="1"/>
        <v xml:space="preserve">0 / </v>
      </c>
      <c r="B51" s="105">
        <f ca="1"/>
        <v>0</v>
      </c>
      <c r="C51" s="105">
        <f ca="1"/>
        <v>0</v>
      </c>
      <c r="D51" s="105">
        <f ca="1"/>
        <v>0</v>
      </c>
      <c r="E51" s="105">
        <f ca="1"/>
        <v>0</v>
      </c>
      <c r="F51" s="105">
        <f ca="1"/>
        <v>0</v>
      </c>
      <c r="G51" s="105">
        <f ca="1"/>
        <v>0</v>
      </c>
      <c r="H51" s="60"/>
      <c r="I51"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xml:space="preserve">0 / </v>
      </c>
      <c r="J51" s="122">
        <f>budgetMilestone1[[#This Row],[Milestone 1]]</f>
        <v>0</v>
      </c>
      <c r="K51" s="122">
        <f>budgetMilestone2[[#This Row],[Milestone 2]]</f>
        <v>0</v>
      </c>
      <c r="L51" s="122">
        <f>SUMIFS(ARF[Amount in Euro], ARF[Co Director],budgetMilestone3[director], ARF[Category], budgetMilestone3[Category], ARF[Date], "&gt;" &amp; cleanDateMilestone2,ARF[Date], "&lt;=" &amp; cleanDateMilestone3)</f>
        <v>0</v>
      </c>
      <c r="M51" s="122"/>
      <c r="N51" s="122"/>
      <c r="O51" s="122">
        <f>SUM(budgetMilestone3[[#This Row],[Milestone 1]:[Final]])</f>
        <v>0</v>
      </c>
      <c r="P51" s="60">
        <f>ROW()-ROW(budgetMilestone3[#Headers])</f>
        <v>34</v>
      </c>
      <c r="Q51" s="60">
        <f>IF(budgetMilestone3[row] &lt;= numCategories +3, budgetMilestone3[row]-1, MOD(budgetMilestone3[row]-1,numCategories+3) + IF(MOD(budgetMilestone3[row]-2,numCategories+2)&gt;numCategories+1, 1,0))</f>
        <v>0</v>
      </c>
      <c r="R51" s="60">
        <f>IFERROR(INDEX(directors[Last],MAX(1,FLOOR((budgetMilestone3[row]-1)/(numCategories+3)+1,1))),1)</f>
        <v>0</v>
      </c>
    </row>
    <row r="52" spans="1:18" ht="15" customHeight="1" x14ac:dyDescent="0.25">
      <c r="A52" s="105" t="str">
        <f ca="1"/>
        <v>Equipment</v>
      </c>
      <c r="B52" s="105">
        <f ca="1"/>
        <v>0</v>
      </c>
      <c r="C52" s="105">
        <f ca="1"/>
        <v>0</v>
      </c>
      <c r="D52" s="105">
        <f ca="1"/>
        <v>0</v>
      </c>
      <c r="E52" s="105">
        <f ca="1"/>
        <v>0</v>
      </c>
      <c r="F52" s="105">
        <f ca="1"/>
        <v>0</v>
      </c>
      <c r="G52" s="105">
        <f ca="1"/>
        <v>0</v>
      </c>
      <c r="H52" s="60"/>
      <c r="I52"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Equipment</v>
      </c>
      <c r="J52" s="122">
        <f>budgetMilestone1[[#This Row],[Milestone 1]]</f>
        <v>0</v>
      </c>
      <c r="K52" s="122">
        <f>budgetMilestone2[[#This Row],[Milestone 2]]</f>
        <v>0</v>
      </c>
      <c r="L52" s="122">
        <f>SUMIFS(ARF[Amount in Euro], ARF[Co Director],budgetMilestone3[director], ARF[Category], budgetMilestone3[Category], ARF[Date], "&gt;" &amp; cleanDateMilestone2,ARF[Date], "&lt;=" &amp; cleanDateMilestone3)</f>
        <v>0</v>
      </c>
      <c r="M52" s="123">
        <f ca="1">'Milestone 3'!$E52</f>
        <v>0</v>
      </c>
      <c r="N52" s="123">
        <f ca="1">'Milestone 3'!$F52</f>
        <v>0</v>
      </c>
      <c r="O52" s="122">
        <f ca="1">SUM(budgetMilestone3[[#This Row],[Milestone 1]:[Final]])</f>
        <v>0</v>
      </c>
      <c r="P52" s="60">
        <f>ROW()-ROW(budgetMilestone3[#Headers])</f>
        <v>35</v>
      </c>
      <c r="Q52" s="60">
        <f>IF(budgetMilestone3[row] &lt;= numCategories +3, budgetMilestone3[row]-1, MOD(budgetMilestone3[row]-1,numCategories+3) + IF(MOD(budgetMilestone3[row]-2,numCategories+2)&gt;numCategories+1, 1,0))</f>
        <v>1</v>
      </c>
      <c r="R52" s="60">
        <f>IFERROR(INDEX(directors[Last],MAX(1,FLOOR((budgetMilestone3[row]-1)/(numCategories+3)+1,1))),1)</f>
        <v>0</v>
      </c>
    </row>
    <row r="53" spans="1:18" ht="15" customHeight="1" x14ac:dyDescent="0.25">
      <c r="A53" s="105" t="str">
        <f ca="1"/>
        <v>Training</v>
      </c>
      <c r="B53" s="105">
        <f ca="1"/>
        <v>0</v>
      </c>
      <c r="C53" s="105">
        <f ca="1"/>
        <v>0</v>
      </c>
      <c r="D53" s="105">
        <f ca="1"/>
        <v>0</v>
      </c>
      <c r="E53" s="105">
        <f ca="1"/>
        <v>0</v>
      </c>
      <c r="F53" s="105">
        <f ca="1"/>
        <v>0</v>
      </c>
      <c r="G53" s="105">
        <f ca="1"/>
        <v>0</v>
      </c>
      <c r="H53" s="60"/>
      <c r="I53"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Training</v>
      </c>
      <c r="J53" s="122">
        <f>budgetMilestone1[[#This Row],[Milestone 1]]</f>
        <v>0</v>
      </c>
      <c r="K53" s="122">
        <f>budgetMilestone2[[#This Row],[Milestone 2]]</f>
        <v>0</v>
      </c>
      <c r="L53" s="122">
        <f>SUMIFS(ARF[Amount in Euro], ARF[Co Director],budgetMilestone3[director], ARF[Category], budgetMilestone3[Category], ARF[Date], "&gt;" &amp; cleanDateMilestone2,ARF[Date], "&lt;=" &amp; cleanDateMilestone3)</f>
        <v>0</v>
      </c>
      <c r="M53" s="123">
        <f ca="1">'Milestone 3'!$E53</f>
        <v>0</v>
      </c>
      <c r="N53" s="123">
        <f ca="1">'Milestone 3'!$F53</f>
        <v>0</v>
      </c>
      <c r="O53" s="122">
        <f ca="1">SUM(budgetMilestone3[[#This Row],[Milestone 1]:[Final]])</f>
        <v>0</v>
      </c>
      <c r="P53" s="60">
        <f>ROW()-ROW(budgetMilestone3[#Headers])</f>
        <v>36</v>
      </c>
      <c r="Q53" s="60">
        <f>IF(budgetMilestone3[row] &lt;= numCategories +3, budgetMilestone3[row]-1, MOD(budgetMilestone3[row]-1,numCategories+3) + IF(MOD(budgetMilestone3[row]-2,numCategories+2)&gt;numCategories+1, 1,0))</f>
        <v>2</v>
      </c>
      <c r="R53" s="60">
        <f>IFERROR(INDEX(directors[Last],MAX(1,FLOOR((budgetMilestone3[row]-1)/(numCategories+3)+1,1))),1)</f>
        <v>0</v>
      </c>
    </row>
    <row r="54" spans="1:18" ht="15" customHeight="1" x14ac:dyDescent="0.25">
      <c r="A54" s="105" t="str">
        <f ca="1"/>
        <v>Communication &amp; Publication</v>
      </c>
      <c r="B54" s="105">
        <f ca="1"/>
        <v>0</v>
      </c>
      <c r="C54" s="105">
        <f ca="1"/>
        <v>0</v>
      </c>
      <c r="D54" s="105">
        <f ca="1"/>
        <v>0</v>
      </c>
      <c r="E54" s="105">
        <f ca="1"/>
        <v>0</v>
      </c>
      <c r="F54" s="105">
        <f ca="1"/>
        <v>0</v>
      </c>
      <c r="G54" s="105">
        <f ca="1"/>
        <v>0</v>
      </c>
      <c r="H54" s="60"/>
      <c r="I54"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Communication &amp; Publication</v>
      </c>
      <c r="J54" s="122">
        <f>budgetMilestone1[[#This Row],[Milestone 1]]</f>
        <v>0</v>
      </c>
      <c r="K54" s="122">
        <f>budgetMilestone2[[#This Row],[Milestone 2]]</f>
        <v>0</v>
      </c>
      <c r="L54" s="122">
        <f>SUMIFS(ARF[Amount in Euro], ARF[Co Director],budgetMilestone3[director], ARF[Category], budgetMilestone3[Category], ARF[Date], "&gt;" &amp; cleanDateMilestone2,ARF[Date], "&lt;=" &amp; cleanDateMilestone3)</f>
        <v>0</v>
      </c>
      <c r="M54" s="123">
        <f ca="1">'Milestone 3'!$E54</f>
        <v>0</v>
      </c>
      <c r="N54" s="123">
        <f ca="1">'Milestone 3'!$F54</f>
        <v>0</v>
      </c>
      <c r="O54" s="122">
        <f ca="1">SUM(budgetMilestone3[[#This Row],[Milestone 1]:[Final]])</f>
        <v>0</v>
      </c>
      <c r="P54" s="60">
        <f>ROW()-ROW(budgetMilestone3[#Headers])</f>
        <v>37</v>
      </c>
      <c r="Q54" s="60">
        <f>IF(budgetMilestone3[row] &lt;= numCategories +3, budgetMilestone3[row]-1, MOD(budgetMilestone3[row]-1,numCategories+3) + IF(MOD(budgetMilestone3[row]-2,numCategories+2)&gt;numCategories+1, 1,0))</f>
        <v>3</v>
      </c>
      <c r="R54" s="60">
        <f>IFERROR(INDEX(directors[Last],MAX(1,FLOOR((budgetMilestone3[row]-1)/(numCategories+3)+1,1))),1)</f>
        <v>0</v>
      </c>
    </row>
    <row r="55" spans="1:18" ht="15" customHeight="1" x14ac:dyDescent="0.25">
      <c r="A55" s="105" t="str">
        <f ca="1"/>
        <v>Travel</v>
      </c>
      <c r="B55" s="105">
        <f ca="1"/>
        <v>0</v>
      </c>
      <c r="C55" s="105">
        <f ca="1"/>
        <v>0</v>
      </c>
      <c r="D55" s="105">
        <f ca="1"/>
        <v>0</v>
      </c>
      <c r="E55" s="105">
        <f ca="1"/>
        <v>0</v>
      </c>
      <c r="F55" s="105">
        <f ca="1"/>
        <v>0</v>
      </c>
      <c r="G55" s="105">
        <f ca="1"/>
        <v>0</v>
      </c>
      <c r="H55" s="60"/>
      <c r="I55"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Travel</v>
      </c>
      <c r="J55" s="122">
        <f>budgetMilestone1[[#This Row],[Milestone 1]]</f>
        <v>0</v>
      </c>
      <c r="K55" s="122">
        <f>budgetMilestone2[[#This Row],[Milestone 2]]</f>
        <v>0</v>
      </c>
      <c r="L55" s="122">
        <f>SUMIFS(ARF[Amount in Euro], ARF[Co Director],budgetMilestone3[director], ARF[Category], budgetMilestone3[Category], ARF[Date], "&gt;" &amp; cleanDateMilestone2,ARF[Date], "&lt;=" &amp; cleanDateMilestone3)</f>
        <v>0</v>
      </c>
      <c r="M55" s="123">
        <f ca="1">'Milestone 3'!$E55</f>
        <v>0</v>
      </c>
      <c r="N55" s="123">
        <f ca="1">'Milestone 3'!$F55</f>
        <v>0</v>
      </c>
      <c r="O55" s="122">
        <f ca="1">SUM(budgetMilestone3[[#This Row],[Milestone 1]:[Final]])</f>
        <v>0</v>
      </c>
      <c r="P55" s="61">
        <f>ROW()-ROW(budgetMilestone3[#Headers])</f>
        <v>38</v>
      </c>
      <c r="Q55" s="61">
        <f>IF(budgetMilestone3[row] &lt;= numCategories +3, budgetMilestone3[row]-1, MOD(budgetMilestone3[row]-1,numCategories+3) + IF(MOD(budgetMilestone3[row]-2,numCategories+2)&gt;numCategories+1, 1,0))</f>
        <v>4</v>
      </c>
      <c r="R55" s="60">
        <f>IFERROR(INDEX(directors[Last],MAX(1,FLOOR((budgetMilestone3[row]-1)/(numCategories+3)+1,1))),1)</f>
        <v>0</v>
      </c>
    </row>
    <row r="56" spans="1:18" ht="15" customHeight="1" x14ac:dyDescent="0.25">
      <c r="A56" s="105" t="str">
        <f ca="1"/>
        <v>Consumables</v>
      </c>
      <c r="B56" s="105">
        <f ca="1"/>
        <v>0</v>
      </c>
      <c r="C56" s="105">
        <f ca="1"/>
        <v>0</v>
      </c>
      <c r="D56" s="105">
        <f ca="1"/>
        <v>0</v>
      </c>
      <c r="E56" s="105">
        <f ca="1"/>
        <v>0</v>
      </c>
      <c r="F56" s="105">
        <f ca="1"/>
        <v>0</v>
      </c>
      <c r="G56" s="105">
        <f ca="1"/>
        <v>0</v>
      </c>
      <c r="H56" s="60"/>
      <c r="I56"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Consumables</v>
      </c>
      <c r="J56" s="122">
        <f>budgetMilestone1[[#This Row],[Milestone 1]]</f>
        <v>0</v>
      </c>
      <c r="K56" s="122">
        <f>budgetMilestone2[[#This Row],[Milestone 2]]</f>
        <v>0</v>
      </c>
      <c r="L56" s="122">
        <f>SUMIFS(ARF[Amount in Euro], ARF[Co Director],budgetMilestone3[director], ARF[Category], budgetMilestone3[Category], ARF[Date], "&gt;" &amp; cleanDateMilestone2,ARF[Date], "&lt;=" &amp; cleanDateMilestone3)</f>
        <v>0</v>
      </c>
      <c r="M56" s="123">
        <f ca="1">'Milestone 3'!$E56</f>
        <v>0</v>
      </c>
      <c r="N56" s="123">
        <f ca="1">'Milestone 3'!$F56</f>
        <v>0</v>
      </c>
      <c r="O56" s="122">
        <f ca="1">SUM(budgetMilestone3[[#This Row],[Milestone 1]:[Final]])</f>
        <v>0</v>
      </c>
      <c r="P56" s="60">
        <f>ROW()-ROW(budgetMilestone3[#Headers])</f>
        <v>39</v>
      </c>
      <c r="Q56" s="60">
        <f>IF(budgetMilestone3[row] &lt;= numCategories +3, budgetMilestone3[row]-1, MOD(budgetMilestone3[row]-1,numCategories+3) + IF(MOD(budgetMilestone3[row]-2,numCategories+2)&gt;numCategories+1, 1,0))</f>
        <v>5</v>
      </c>
      <c r="R56" s="60">
        <f>IFERROR(INDEX(directors[Last],MAX(1,FLOOR((budgetMilestone3[row]-1)/(numCategories+3)+1,1))),1)</f>
        <v>0</v>
      </c>
    </row>
    <row r="57" spans="1:18" ht="15" customHeight="1" x14ac:dyDescent="0.25">
      <c r="A57" s="105" t="str">
        <f ca="1"/>
        <v>Other</v>
      </c>
      <c r="B57" s="105">
        <f ca="1"/>
        <v>0</v>
      </c>
      <c r="C57" s="105">
        <f ca="1"/>
        <v>0</v>
      </c>
      <c r="D57" s="105">
        <f ca="1"/>
        <v>0</v>
      </c>
      <c r="E57" s="105">
        <f ca="1"/>
        <v>0</v>
      </c>
      <c r="F57" s="105">
        <f ca="1"/>
        <v>0</v>
      </c>
      <c r="G57" s="105">
        <f ca="1"/>
        <v>0</v>
      </c>
      <c r="H57" s="60"/>
      <c r="I57"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Other</v>
      </c>
      <c r="J57" s="122">
        <f>budgetMilestone1[[#This Row],[Milestone 1]]</f>
        <v>0</v>
      </c>
      <c r="K57" s="122">
        <f>budgetMilestone2[[#This Row],[Milestone 2]]</f>
        <v>0</v>
      </c>
      <c r="L57" s="122">
        <f>SUMIFS(ARF[Amount in Euro], ARF[Co Director],budgetMilestone3[director], ARF[Category], budgetMilestone3[Category], ARF[Date], "&gt;" &amp; cleanDateMilestone2,ARF[Date], "&lt;=" &amp; cleanDateMilestone3)</f>
        <v>0</v>
      </c>
      <c r="M57" s="123">
        <f ca="1">'Milestone 3'!$E57</f>
        <v>0</v>
      </c>
      <c r="N57" s="123">
        <f ca="1">'Milestone 3'!$F57</f>
        <v>0</v>
      </c>
      <c r="O57" s="122">
        <f ca="1">SUM(budgetMilestone3[[#This Row],[Milestone 1]:[Final]])</f>
        <v>0</v>
      </c>
      <c r="P57" s="60">
        <f>ROW()-ROW(budgetMilestone3[#Headers])</f>
        <v>40</v>
      </c>
      <c r="Q57" s="60">
        <f>IF(budgetMilestone3[row] &lt;= numCategories +3, budgetMilestone3[row]-1, MOD(budgetMilestone3[row]-1,numCategories+3) + IF(MOD(budgetMilestone3[row]-2,numCategories+2)&gt;numCategories+1, 1,0))</f>
        <v>6</v>
      </c>
      <c r="R57" s="60">
        <f>IFERROR(INDEX(directors[Last],MAX(1,FLOOR((budgetMilestone3[row]-1)/(numCategories+3)+1,1))),1)</f>
        <v>0</v>
      </c>
    </row>
    <row r="58" spans="1:18" ht="15" customHeight="1" x14ac:dyDescent="0.25">
      <c r="A58" s="105" t="str">
        <f ca="1"/>
        <v>Stipends</v>
      </c>
      <c r="B58" s="105">
        <f ca="1"/>
        <v>0</v>
      </c>
      <c r="C58" s="105">
        <f ca="1"/>
        <v>0</v>
      </c>
      <c r="D58" s="105">
        <f ca="1"/>
        <v>0</v>
      </c>
      <c r="E58" s="105">
        <f ca="1"/>
        <v>0</v>
      </c>
      <c r="F58" s="105">
        <f ca="1"/>
        <v>0</v>
      </c>
      <c r="G58" s="105">
        <f ca="1"/>
        <v>0</v>
      </c>
      <c r="H58" s="60"/>
      <c r="I58"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Stipends</v>
      </c>
      <c r="J58" s="122">
        <f>budgetMilestone1[[#This Row],[Milestone 1]]</f>
        <v>0</v>
      </c>
      <c r="K58" s="122">
        <f>budgetMilestone2[[#This Row],[Milestone 2]]</f>
        <v>0</v>
      </c>
      <c r="L58" s="122">
        <f>SUMIFS(ARF[Amount in Euro], ARF[Co Director],budgetMilestone3[director], ARF[Category], budgetMilestone3[Category], ARF[Date], "&gt;" &amp; cleanDateMilestone2,ARF[Date], "&lt;=" &amp; cleanDateMilestone3)</f>
        <v>0</v>
      </c>
      <c r="M58" s="123">
        <f ca="1">'Milestone 3'!$E58</f>
        <v>0</v>
      </c>
      <c r="N58" s="123">
        <f ca="1">'Milestone 3'!$F58</f>
        <v>0</v>
      </c>
      <c r="O58" s="122">
        <f ca="1">SUM(budgetMilestone3[[#This Row],[Milestone 1]:[Final]])</f>
        <v>0</v>
      </c>
      <c r="P58" s="60">
        <f>ROW()-ROW(budgetMilestone3[#Headers])</f>
        <v>41</v>
      </c>
      <c r="Q58" s="60">
        <f>IF(budgetMilestone3[row] &lt;= numCategories +3, budgetMilestone3[row]-1, MOD(budgetMilestone3[row]-1,numCategories+3) + IF(MOD(budgetMilestone3[row]-2,numCategories+2)&gt;numCategories+1, 1,0))</f>
        <v>7</v>
      </c>
      <c r="R58" s="60">
        <f>IFERROR(INDEX(directors[Last],MAX(1,FLOOR((budgetMilestone3[row]-1)/(numCategories+3)+1,1))),1)</f>
        <v>0</v>
      </c>
    </row>
    <row r="59" spans="1:18" ht="15" customHeight="1" x14ac:dyDescent="0.25">
      <c r="A59" s="105" t="str">
        <f ca="1"/>
        <v>Co-financing of personnel</v>
      </c>
      <c r="B59" s="105">
        <f ca="1"/>
        <v>0</v>
      </c>
      <c r="C59" s="105">
        <f ca="1"/>
        <v>0</v>
      </c>
      <c r="D59" s="105">
        <f ca="1"/>
        <v>0</v>
      </c>
      <c r="E59" s="105">
        <f ca="1"/>
        <v>0</v>
      </c>
      <c r="F59" s="105">
        <f ca="1"/>
        <v>0</v>
      </c>
      <c r="G59" s="105">
        <f ca="1"/>
        <v>0</v>
      </c>
      <c r="H59" s="60"/>
      <c r="I59"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Co-financing of personnel</v>
      </c>
      <c r="J59" s="122">
        <f>budgetMilestone1[[#This Row],[Milestone 1]]</f>
        <v>0</v>
      </c>
      <c r="K59" s="122">
        <f>budgetMilestone2[[#This Row],[Milestone 2]]</f>
        <v>0</v>
      </c>
      <c r="L59" s="122">
        <f>SUMIFS(ARF[Amount in Euro], ARF[Co Director],budgetMilestone3[director], ARF[Category], budgetMilestone3[Category], ARF[Date], "&gt;" &amp; cleanDateMilestone2,ARF[Date], "&lt;=" &amp; cleanDateMilestone3)</f>
        <v>0</v>
      </c>
      <c r="M59" s="123">
        <f ca="1">'Milestone 3'!$E59</f>
        <v>0</v>
      </c>
      <c r="N59" s="123">
        <f ca="1">'Milestone 3'!$F59</f>
        <v>0</v>
      </c>
      <c r="O59" s="122">
        <f ca="1">SUM(budgetMilestone3[[#This Row],[Milestone 1]:[Final]])</f>
        <v>0</v>
      </c>
      <c r="P59" s="60">
        <f>ROW()-ROW(budgetMilestone3[#Headers])</f>
        <v>42</v>
      </c>
      <c r="Q59" s="60">
        <f>IF(budgetMilestone3[row] &lt;= numCategories +3, budgetMilestone3[row]-1, MOD(budgetMilestone3[row]-1,numCategories+3) + IF(MOD(budgetMilestone3[row]-2,numCategories+2)&gt;numCategories+1, 1,0))</f>
        <v>8</v>
      </c>
      <c r="R59" s="60">
        <f>IFERROR(INDEX(directors[Last],MAX(1,FLOOR((budgetMilestone3[row]-1)/(numCategories+3)+1,1))),1)</f>
        <v>0</v>
      </c>
    </row>
    <row r="60" spans="1:18" ht="15" customHeight="1" x14ac:dyDescent="0.25">
      <c r="A60" s="105" t="str">
        <f ca="1"/>
        <v>Subtotal 0</v>
      </c>
      <c r="B60" s="105">
        <f ca="1"/>
        <v>0</v>
      </c>
      <c r="C60" s="105">
        <f ca="1"/>
        <v>0</v>
      </c>
      <c r="D60" s="105">
        <f ca="1"/>
        <v>0</v>
      </c>
      <c r="E60" s="105">
        <f ca="1"/>
        <v>0</v>
      </c>
      <c r="F60" s="105">
        <f ca="1"/>
        <v>0</v>
      </c>
      <c r="G60" s="105">
        <f ca="1"/>
        <v>0</v>
      </c>
      <c r="H60" s="60"/>
      <c r="I60"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Subtotal 0</v>
      </c>
      <c r="J60" s="122">
        <f>budgetMilestone1[[#This Row],[Milestone 1]]</f>
        <v>0</v>
      </c>
      <c r="K60" s="122">
        <f>budgetMilestone2[[#This Row],[Milestone 2]]</f>
        <v>0</v>
      </c>
      <c r="L60" s="122">
        <f t="shared" ref="L60:O60" si="2">SUBTOTAL(9,L52:L59)</f>
        <v>0</v>
      </c>
      <c r="M60" s="122">
        <f t="shared" ca="1" si="2"/>
        <v>0</v>
      </c>
      <c r="N60" s="122">
        <f t="shared" ca="1" si="2"/>
        <v>0</v>
      </c>
      <c r="O60" s="122">
        <f t="shared" ca="1" si="2"/>
        <v>0</v>
      </c>
      <c r="P60" s="60">
        <f>ROW()-ROW(budgetMilestone3[#Headers])</f>
        <v>43</v>
      </c>
      <c r="Q60" s="60">
        <f>IF(budgetMilestone3[row] &lt;= numCategories +3, budgetMilestone3[row]-1, MOD(budgetMilestone3[row]-1,numCategories+3) + IF(MOD(budgetMilestone3[row]-2,numCategories+2)&gt;numCategories+1, 1,0))</f>
        <v>9</v>
      </c>
      <c r="R60" s="60">
        <f>IFERROR(INDEX(directors[Last],MAX(1,FLOOR((budgetMilestone3[row]-1)/(numCategories+3)+1,1))),1)</f>
        <v>0</v>
      </c>
    </row>
    <row r="61" spans="1:18" ht="15" customHeight="1" x14ac:dyDescent="0.25">
      <c r="A61" s="105" t="str">
        <f ca="1"/>
        <v/>
      </c>
      <c r="B61" s="105">
        <f ca="1"/>
        <v>0</v>
      </c>
      <c r="C61" s="105">
        <f ca="1"/>
        <v>0</v>
      </c>
      <c r="D61" s="105">
        <f ca="1"/>
        <v>0</v>
      </c>
      <c r="E61" s="105">
        <f ca="1"/>
        <v>0</v>
      </c>
      <c r="F61" s="105">
        <f ca="1"/>
        <v>0</v>
      </c>
      <c r="G61" s="105">
        <f ca="1"/>
        <v>0</v>
      </c>
      <c r="H61" s="60"/>
      <c r="I61"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c>
      <c r="J61" s="122">
        <f>budgetMilestone1[[#This Row],[Milestone 1]]</f>
        <v>0</v>
      </c>
      <c r="K61" s="122">
        <f>budgetMilestone2[[#This Row],[Milestone 2]]</f>
        <v>0</v>
      </c>
      <c r="L61" s="122">
        <f>SUMIFS(ARF[Amount in Euro], ARF[Co Director],budgetMilestone3[director], ARF[Category], budgetMilestone3[Category], ARF[Date], "&gt;" &amp; cleanDateMilestone2,ARF[Date], "&lt;=" &amp; cleanDateMilestone3)</f>
        <v>0</v>
      </c>
      <c r="M61" s="122"/>
      <c r="N61" s="122"/>
      <c r="O61" s="122">
        <f>SUM(budgetMilestone3[[#This Row],[Milestone 1]:[Final]])</f>
        <v>0</v>
      </c>
      <c r="P61" s="60">
        <f>ROW()-ROW(budgetMilestone3[#Headers])</f>
        <v>44</v>
      </c>
      <c r="Q61" s="60">
        <f>IF(budgetMilestone3[row] &lt;= numCategories +3, budgetMilestone3[row]-1, MOD(budgetMilestone3[row]-1,numCategories+3) + IF(MOD(budgetMilestone3[row]-2,numCategories+2)&gt;numCategories+1, 1,0))</f>
        <v>10</v>
      </c>
      <c r="R61" s="60">
        <f>IFERROR(INDEX(directors[Last],MAX(1,FLOOR((budgetMilestone3[row]-1)/(numCategories+3)+1,1))),1)</f>
        <v>0</v>
      </c>
    </row>
    <row r="62" spans="1:18" ht="15" customHeight="1" x14ac:dyDescent="0.25">
      <c r="A62" s="105" t="str">
        <f ca="1"/>
        <v xml:space="preserve">0 / </v>
      </c>
      <c r="B62" s="105">
        <f ca="1"/>
        <v>0</v>
      </c>
      <c r="C62" s="105">
        <f ca="1"/>
        <v>0</v>
      </c>
      <c r="D62" s="105">
        <f ca="1"/>
        <v>0</v>
      </c>
      <c r="E62" s="105">
        <f ca="1"/>
        <v>0</v>
      </c>
      <c r="F62" s="105">
        <f ca="1"/>
        <v>0</v>
      </c>
      <c r="G62" s="105">
        <f ca="1"/>
        <v>0</v>
      </c>
      <c r="H62" s="60"/>
      <c r="I62"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xml:space="preserve">0 / </v>
      </c>
      <c r="J62" s="122">
        <f>budgetMilestone1[[#This Row],[Milestone 1]]</f>
        <v>0</v>
      </c>
      <c r="K62" s="122">
        <f>budgetMilestone2[[#This Row],[Milestone 2]]</f>
        <v>0</v>
      </c>
      <c r="L62" s="122">
        <f>SUMIFS(ARF[Amount in Euro], ARF[Co Director],budgetMilestone3[director], ARF[Category], budgetMilestone3[Category], ARF[Date], "&gt;" &amp; cleanDateMilestone2,ARF[Date], "&lt;=" &amp; cleanDateMilestone3)</f>
        <v>0</v>
      </c>
      <c r="M62" s="122"/>
      <c r="N62" s="122"/>
      <c r="O62" s="122">
        <f>SUM(budgetMilestone3[[#This Row],[Milestone 1]:[Final]])</f>
        <v>0</v>
      </c>
      <c r="P62" s="60">
        <f>ROW()-ROW(budgetMilestone3[#Headers])</f>
        <v>45</v>
      </c>
      <c r="Q62" s="60">
        <f>IF(budgetMilestone3[row] &lt;= numCategories +3, budgetMilestone3[row]-1, MOD(budgetMilestone3[row]-1,numCategories+3) + IF(MOD(budgetMilestone3[row]-2,numCategories+2)&gt;numCategories+1, 1,0))</f>
        <v>0</v>
      </c>
      <c r="R62" s="60">
        <f>IFERROR(INDEX(directors[Last],MAX(1,FLOOR((budgetMilestone3[row]-1)/(numCategories+3)+1,1))),1)</f>
        <v>0</v>
      </c>
    </row>
    <row r="63" spans="1:18" ht="15" customHeight="1" x14ac:dyDescent="0.25">
      <c r="A63" s="105" t="str">
        <f ca="1"/>
        <v>Equipment</v>
      </c>
      <c r="B63" s="105">
        <f ca="1"/>
        <v>0</v>
      </c>
      <c r="C63" s="105">
        <f ca="1"/>
        <v>0</v>
      </c>
      <c r="D63" s="105">
        <f ca="1"/>
        <v>0</v>
      </c>
      <c r="E63" s="105">
        <f ca="1"/>
        <v>0</v>
      </c>
      <c r="F63" s="105">
        <f ca="1"/>
        <v>0</v>
      </c>
      <c r="G63" s="105">
        <f ca="1"/>
        <v>0</v>
      </c>
      <c r="H63" s="60"/>
      <c r="I63"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Equipment</v>
      </c>
      <c r="J63" s="122">
        <f>budgetMilestone1[[#This Row],[Milestone 1]]</f>
        <v>0</v>
      </c>
      <c r="K63" s="122">
        <f>budgetMilestone2[[#This Row],[Milestone 2]]</f>
        <v>0</v>
      </c>
      <c r="L63" s="122">
        <f>SUMIFS(ARF[Amount in Euro], ARF[Co Director],budgetMilestone3[director], ARF[Category], budgetMilestone3[Category], ARF[Date], "&gt;" &amp; cleanDateMilestone2,ARF[Date], "&lt;=" &amp; cleanDateMilestone3)</f>
        <v>0</v>
      </c>
      <c r="M63" s="123">
        <f ca="1">'Milestone 3'!$E63</f>
        <v>0</v>
      </c>
      <c r="N63" s="123">
        <f ca="1">'Milestone 3'!$F63</f>
        <v>0</v>
      </c>
      <c r="O63" s="122">
        <f ca="1">SUM(budgetMilestone3[[#This Row],[Milestone 1]:[Final]])</f>
        <v>0</v>
      </c>
      <c r="P63" s="60">
        <f>ROW()-ROW(budgetMilestone3[#Headers])</f>
        <v>46</v>
      </c>
      <c r="Q63" s="60">
        <f>IF(budgetMilestone3[row] &lt;= numCategories +3, budgetMilestone3[row]-1, MOD(budgetMilestone3[row]-1,numCategories+3) + IF(MOD(budgetMilestone3[row]-2,numCategories+2)&gt;numCategories+1, 1,0))</f>
        <v>1</v>
      </c>
      <c r="R63" s="60">
        <f>IFERROR(INDEX(directors[Last],MAX(1,FLOOR((budgetMilestone3[row]-1)/(numCategories+3)+1,1))),1)</f>
        <v>0</v>
      </c>
    </row>
    <row r="64" spans="1:18" ht="15" customHeight="1" x14ac:dyDescent="0.25">
      <c r="A64" s="105" t="str">
        <f ca="1"/>
        <v>Training</v>
      </c>
      <c r="B64" s="105">
        <f ca="1"/>
        <v>0</v>
      </c>
      <c r="C64" s="105">
        <f ca="1"/>
        <v>0</v>
      </c>
      <c r="D64" s="105">
        <f ca="1"/>
        <v>0</v>
      </c>
      <c r="E64" s="105">
        <f ca="1"/>
        <v>0</v>
      </c>
      <c r="F64" s="105">
        <f ca="1"/>
        <v>0</v>
      </c>
      <c r="G64" s="105">
        <f ca="1"/>
        <v>0</v>
      </c>
      <c r="H64" s="60"/>
      <c r="I64"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Training</v>
      </c>
      <c r="J64" s="122">
        <f>budgetMilestone1[[#This Row],[Milestone 1]]</f>
        <v>0</v>
      </c>
      <c r="K64" s="122">
        <f>budgetMilestone2[[#This Row],[Milestone 2]]</f>
        <v>0</v>
      </c>
      <c r="L64" s="122">
        <f>SUMIFS(ARF[Amount in Euro], ARF[Co Director],budgetMilestone3[director], ARF[Category], budgetMilestone3[Category], ARF[Date], "&gt;" &amp; cleanDateMilestone2,ARF[Date], "&lt;=" &amp; cleanDateMilestone3)</f>
        <v>0</v>
      </c>
      <c r="M64" s="123">
        <f ca="1">'Milestone 3'!$E64</f>
        <v>0</v>
      </c>
      <c r="N64" s="123">
        <f ca="1">'Milestone 3'!$F64</f>
        <v>0</v>
      </c>
      <c r="O64" s="122">
        <f ca="1">SUM(budgetMilestone3[[#This Row],[Milestone 1]:[Final]])</f>
        <v>0</v>
      </c>
      <c r="P64" s="60">
        <f>ROW()-ROW(budgetMilestone3[#Headers])</f>
        <v>47</v>
      </c>
      <c r="Q64" s="60">
        <f>IF(budgetMilestone3[row] &lt;= numCategories +3, budgetMilestone3[row]-1, MOD(budgetMilestone3[row]-1,numCategories+3) + IF(MOD(budgetMilestone3[row]-2,numCategories+2)&gt;numCategories+1, 1,0))</f>
        <v>2</v>
      </c>
      <c r="R64" s="60">
        <f>IFERROR(INDEX(directors[Last],MAX(1,FLOOR((budgetMilestone3[row]-1)/(numCategories+3)+1,1))),1)</f>
        <v>0</v>
      </c>
    </row>
    <row r="65" spans="1:18" ht="15" customHeight="1" x14ac:dyDescent="0.25">
      <c r="A65" s="105" t="str">
        <f ca="1"/>
        <v>Communication &amp; Publication</v>
      </c>
      <c r="B65" s="105">
        <f ca="1"/>
        <v>0</v>
      </c>
      <c r="C65" s="105">
        <f ca="1"/>
        <v>0</v>
      </c>
      <c r="D65" s="105">
        <f ca="1"/>
        <v>0</v>
      </c>
      <c r="E65" s="105">
        <f ca="1"/>
        <v>0</v>
      </c>
      <c r="F65" s="105">
        <f ca="1"/>
        <v>0</v>
      </c>
      <c r="G65" s="105">
        <f ca="1"/>
        <v>0</v>
      </c>
      <c r="H65" s="60"/>
      <c r="I65"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Communication &amp; Publication</v>
      </c>
      <c r="J65" s="122">
        <f>budgetMilestone1[[#This Row],[Milestone 1]]</f>
        <v>0</v>
      </c>
      <c r="K65" s="122">
        <f>budgetMilestone2[[#This Row],[Milestone 2]]</f>
        <v>0</v>
      </c>
      <c r="L65" s="122">
        <f>SUMIFS(ARF[Amount in Euro], ARF[Co Director],budgetMilestone3[director], ARF[Category], budgetMilestone3[Category], ARF[Date], "&gt;" &amp; cleanDateMilestone2,ARF[Date], "&lt;=" &amp; cleanDateMilestone3)</f>
        <v>0</v>
      </c>
      <c r="M65" s="123">
        <f ca="1">'Milestone 3'!$E65</f>
        <v>0</v>
      </c>
      <c r="N65" s="123">
        <f ca="1">'Milestone 3'!$F65</f>
        <v>0</v>
      </c>
      <c r="O65" s="122">
        <f ca="1">SUM(budgetMilestone3[[#This Row],[Milestone 1]:[Final]])</f>
        <v>0</v>
      </c>
      <c r="P65" s="60">
        <f>ROW()-ROW(budgetMilestone3[#Headers])</f>
        <v>48</v>
      </c>
      <c r="Q65" s="60">
        <f>IF(budgetMilestone3[row] &lt;= numCategories +3, budgetMilestone3[row]-1, MOD(budgetMilestone3[row]-1,numCategories+3) + IF(MOD(budgetMilestone3[row]-2,numCategories+2)&gt;numCategories+1, 1,0))</f>
        <v>3</v>
      </c>
      <c r="R65" s="60">
        <f>IFERROR(INDEX(directors[Last],MAX(1,FLOOR((budgetMilestone3[row]-1)/(numCategories+3)+1,1))),1)</f>
        <v>0</v>
      </c>
    </row>
    <row r="66" spans="1:18" ht="15" customHeight="1" x14ac:dyDescent="0.25">
      <c r="A66" s="105" t="str">
        <f ca="1"/>
        <v>Travel</v>
      </c>
      <c r="B66" s="105">
        <f ca="1"/>
        <v>0</v>
      </c>
      <c r="C66" s="105">
        <f ca="1"/>
        <v>0</v>
      </c>
      <c r="D66" s="105">
        <f ca="1"/>
        <v>0</v>
      </c>
      <c r="E66" s="105">
        <f ca="1"/>
        <v>0</v>
      </c>
      <c r="F66" s="105">
        <f ca="1"/>
        <v>0</v>
      </c>
      <c r="G66" s="105">
        <f ca="1"/>
        <v>0</v>
      </c>
      <c r="H66" s="60"/>
      <c r="I66"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Travel</v>
      </c>
      <c r="J66" s="122">
        <f>budgetMilestone1[[#This Row],[Milestone 1]]</f>
        <v>0</v>
      </c>
      <c r="K66" s="122">
        <f>budgetMilestone2[[#This Row],[Milestone 2]]</f>
        <v>0</v>
      </c>
      <c r="L66" s="122">
        <f>SUMIFS(ARF[Amount in Euro], ARF[Co Director],budgetMilestone3[director], ARF[Category], budgetMilestone3[Category], ARF[Date], "&gt;" &amp; cleanDateMilestone2,ARF[Date], "&lt;=" &amp; cleanDateMilestone3)</f>
        <v>0</v>
      </c>
      <c r="M66" s="123">
        <f ca="1">'Milestone 3'!$E66</f>
        <v>0</v>
      </c>
      <c r="N66" s="123">
        <f ca="1">'Milestone 3'!$F66</f>
        <v>0</v>
      </c>
      <c r="O66" s="122">
        <f ca="1">SUM(budgetMilestone3[[#This Row],[Milestone 1]:[Final]])</f>
        <v>0</v>
      </c>
      <c r="P66" s="60">
        <f>ROW()-ROW(budgetMilestone3[#Headers])</f>
        <v>49</v>
      </c>
      <c r="Q66" s="60">
        <f>IF(budgetMilestone3[row] &lt;= numCategories +3, budgetMilestone3[row]-1, MOD(budgetMilestone3[row]-1,numCategories+3) + IF(MOD(budgetMilestone3[row]-2,numCategories+2)&gt;numCategories+1, 1,0))</f>
        <v>4</v>
      </c>
      <c r="R66" s="60">
        <f>IFERROR(INDEX(directors[Last],MAX(1,FLOOR((budgetMilestone3[row]-1)/(numCategories+3)+1,1))),1)</f>
        <v>0</v>
      </c>
    </row>
    <row r="67" spans="1:18" ht="15" customHeight="1" x14ac:dyDescent="0.25">
      <c r="A67" s="105" t="str">
        <f ca="1"/>
        <v>Consumables</v>
      </c>
      <c r="B67" s="105">
        <f ca="1"/>
        <v>0</v>
      </c>
      <c r="C67" s="105">
        <f ca="1"/>
        <v>0</v>
      </c>
      <c r="D67" s="105">
        <f ca="1"/>
        <v>0</v>
      </c>
      <c r="E67" s="105">
        <f ca="1"/>
        <v>0</v>
      </c>
      <c r="F67" s="105">
        <f ca="1"/>
        <v>0</v>
      </c>
      <c r="G67" s="105">
        <f ca="1"/>
        <v>0</v>
      </c>
      <c r="H67" s="60"/>
      <c r="I67"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Consumables</v>
      </c>
      <c r="J67" s="122">
        <f>budgetMilestone1[[#This Row],[Milestone 1]]</f>
        <v>0</v>
      </c>
      <c r="K67" s="122">
        <f>budgetMilestone2[[#This Row],[Milestone 2]]</f>
        <v>0</v>
      </c>
      <c r="L67" s="122">
        <f>SUMIFS(ARF[Amount in Euro], ARF[Co Director],budgetMilestone3[director], ARF[Category], budgetMilestone3[Category], ARF[Date], "&gt;" &amp; cleanDateMilestone2,ARF[Date], "&lt;=" &amp; cleanDateMilestone3)</f>
        <v>0</v>
      </c>
      <c r="M67" s="123">
        <f ca="1">'Milestone 3'!$E67</f>
        <v>0</v>
      </c>
      <c r="N67" s="123">
        <f ca="1">'Milestone 3'!$F67</f>
        <v>0</v>
      </c>
      <c r="O67" s="122">
        <f ca="1">SUM(budgetMilestone3[[#This Row],[Milestone 1]:[Final]])</f>
        <v>0</v>
      </c>
      <c r="P67" s="60">
        <f>ROW()-ROW(budgetMilestone3[#Headers])</f>
        <v>50</v>
      </c>
      <c r="Q67" s="60">
        <f>IF(budgetMilestone3[row] &lt;= numCategories +3, budgetMilestone3[row]-1, MOD(budgetMilestone3[row]-1,numCategories+3) + IF(MOD(budgetMilestone3[row]-2,numCategories+2)&gt;numCategories+1, 1,0))</f>
        <v>5</v>
      </c>
      <c r="R67" s="60">
        <f>IFERROR(INDEX(directors[Last],MAX(1,FLOOR((budgetMilestone3[row]-1)/(numCategories+3)+1,1))),1)</f>
        <v>0</v>
      </c>
    </row>
    <row r="68" spans="1:18" ht="15" customHeight="1" x14ac:dyDescent="0.25">
      <c r="A68" s="105" t="str">
        <f ca="1"/>
        <v>Other</v>
      </c>
      <c r="B68" s="105">
        <f ca="1"/>
        <v>0</v>
      </c>
      <c r="C68" s="105">
        <f ca="1"/>
        <v>0</v>
      </c>
      <c r="D68" s="105">
        <f ca="1"/>
        <v>0</v>
      </c>
      <c r="E68" s="105">
        <f ca="1"/>
        <v>0</v>
      </c>
      <c r="F68" s="105">
        <f ca="1"/>
        <v>0</v>
      </c>
      <c r="G68" s="105">
        <f ca="1"/>
        <v>0</v>
      </c>
      <c r="H68" s="60"/>
      <c r="I68"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Other</v>
      </c>
      <c r="J68" s="122">
        <f>budgetMilestone1[[#This Row],[Milestone 1]]</f>
        <v>0</v>
      </c>
      <c r="K68" s="122">
        <f>budgetMilestone2[[#This Row],[Milestone 2]]</f>
        <v>0</v>
      </c>
      <c r="L68" s="122">
        <f>SUMIFS(ARF[Amount in Euro], ARF[Co Director],budgetMilestone3[director], ARF[Category], budgetMilestone3[Category], ARF[Date], "&gt;" &amp; cleanDateMilestone2,ARF[Date], "&lt;=" &amp; cleanDateMilestone3)</f>
        <v>0</v>
      </c>
      <c r="M68" s="123">
        <f ca="1">'Milestone 3'!$E68</f>
        <v>0</v>
      </c>
      <c r="N68" s="123">
        <f ca="1">'Milestone 3'!$F68</f>
        <v>0</v>
      </c>
      <c r="O68" s="122">
        <f ca="1">SUM(budgetMilestone3[[#This Row],[Milestone 1]:[Final]])</f>
        <v>0</v>
      </c>
      <c r="P68" s="60">
        <f>ROW()-ROW(budgetMilestone3[#Headers])</f>
        <v>51</v>
      </c>
      <c r="Q68" s="60">
        <f>IF(budgetMilestone3[row] &lt;= numCategories +3, budgetMilestone3[row]-1, MOD(budgetMilestone3[row]-1,numCategories+3) + IF(MOD(budgetMilestone3[row]-2,numCategories+2)&gt;numCategories+1, 1,0))</f>
        <v>6</v>
      </c>
      <c r="R68" s="60">
        <f>IFERROR(INDEX(directors[Last],MAX(1,FLOOR((budgetMilestone3[row]-1)/(numCategories+3)+1,1))),1)</f>
        <v>0</v>
      </c>
    </row>
    <row r="69" spans="1:18" ht="15" customHeight="1" x14ac:dyDescent="0.25">
      <c r="A69" s="105" t="str">
        <f ca="1"/>
        <v>Stipends</v>
      </c>
      <c r="B69" s="105">
        <f ca="1"/>
        <v>0</v>
      </c>
      <c r="C69" s="105">
        <f ca="1"/>
        <v>0</v>
      </c>
      <c r="D69" s="105">
        <f ca="1"/>
        <v>0</v>
      </c>
      <c r="E69" s="105">
        <f ca="1"/>
        <v>0</v>
      </c>
      <c r="F69" s="105">
        <f ca="1"/>
        <v>0</v>
      </c>
      <c r="G69" s="105">
        <f ca="1"/>
        <v>0</v>
      </c>
      <c r="H69" s="60"/>
      <c r="I69"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Stipends</v>
      </c>
      <c r="J69" s="122">
        <f>budgetMilestone1[[#This Row],[Milestone 1]]</f>
        <v>0</v>
      </c>
      <c r="K69" s="122">
        <f>budgetMilestone2[[#This Row],[Milestone 2]]</f>
        <v>0</v>
      </c>
      <c r="L69" s="122">
        <f>SUMIFS(ARF[Amount in Euro], ARF[Co Director],budgetMilestone3[director], ARF[Category], budgetMilestone3[Category], ARF[Date], "&gt;" &amp; cleanDateMilestone2,ARF[Date], "&lt;=" &amp; cleanDateMilestone3)</f>
        <v>0</v>
      </c>
      <c r="M69" s="123">
        <f ca="1">'Milestone 3'!$E69</f>
        <v>0</v>
      </c>
      <c r="N69" s="123">
        <f ca="1">'Milestone 3'!$F69</f>
        <v>0</v>
      </c>
      <c r="O69" s="122">
        <f ca="1">SUM(budgetMilestone3[[#This Row],[Milestone 1]:[Final]])</f>
        <v>0</v>
      </c>
      <c r="P69" s="60">
        <f>ROW()-ROW(budgetMilestone3[#Headers])</f>
        <v>52</v>
      </c>
      <c r="Q69" s="60">
        <f>IF(budgetMilestone3[row] &lt;= numCategories +3, budgetMilestone3[row]-1, MOD(budgetMilestone3[row]-1,numCategories+3) + IF(MOD(budgetMilestone3[row]-2,numCategories+2)&gt;numCategories+1, 1,0))</f>
        <v>7</v>
      </c>
      <c r="R69" s="60">
        <f>IFERROR(INDEX(directors[Last],MAX(1,FLOOR((budgetMilestone3[row]-1)/(numCategories+3)+1,1))),1)</f>
        <v>0</v>
      </c>
    </row>
    <row r="70" spans="1:18" ht="15" customHeight="1" x14ac:dyDescent="0.25">
      <c r="A70" s="105" t="str">
        <f ca="1"/>
        <v>Co-financing of personnel</v>
      </c>
      <c r="B70" s="105">
        <f ca="1"/>
        <v>0</v>
      </c>
      <c r="C70" s="105">
        <f ca="1"/>
        <v>0</v>
      </c>
      <c r="D70" s="105">
        <f ca="1"/>
        <v>0</v>
      </c>
      <c r="E70" s="105">
        <f ca="1"/>
        <v>0</v>
      </c>
      <c r="F70" s="105">
        <f ca="1"/>
        <v>0</v>
      </c>
      <c r="G70" s="105">
        <f ca="1"/>
        <v>0</v>
      </c>
      <c r="H70" s="60"/>
      <c r="I70"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Co-financing of personnel</v>
      </c>
      <c r="J70" s="122">
        <f>budgetMilestone1[[#This Row],[Milestone 1]]</f>
        <v>0</v>
      </c>
      <c r="K70" s="122">
        <f>budgetMilestone2[[#This Row],[Milestone 2]]</f>
        <v>0</v>
      </c>
      <c r="L70" s="122">
        <f>SUMIFS(ARF[Amount in Euro], ARF[Co Director],budgetMilestone3[director], ARF[Category], budgetMilestone3[Category], ARF[Date], "&gt;" &amp; cleanDateMilestone2,ARF[Date], "&lt;=" &amp; cleanDateMilestone3)</f>
        <v>0</v>
      </c>
      <c r="M70" s="123">
        <f ca="1">'Milestone 3'!$E70</f>
        <v>0</v>
      </c>
      <c r="N70" s="123">
        <f ca="1">'Milestone 3'!$F70</f>
        <v>0</v>
      </c>
      <c r="O70" s="122">
        <f ca="1">SUM(budgetMilestone3[[#This Row],[Milestone 1]:[Final]])</f>
        <v>0</v>
      </c>
      <c r="P70" s="60">
        <f>ROW()-ROW(budgetMilestone3[#Headers])</f>
        <v>53</v>
      </c>
      <c r="Q70" s="60">
        <f>IF(budgetMilestone3[row] &lt;= numCategories +3, budgetMilestone3[row]-1, MOD(budgetMilestone3[row]-1,numCategories+3) + IF(MOD(budgetMilestone3[row]-2,numCategories+2)&gt;numCategories+1, 1,0))</f>
        <v>8</v>
      </c>
      <c r="R70" s="60">
        <f>IFERROR(INDEX(directors[Last],MAX(1,FLOOR((budgetMilestone3[row]-1)/(numCategories+3)+1,1))),1)</f>
        <v>0</v>
      </c>
    </row>
    <row r="71" spans="1:18" ht="15" customHeight="1" x14ac:dyDescent="0.25">
      <c r="A71" s="105" t="str">
        <f ca="1"/>
        <v>Subtotal 0</v>
      </c>
      <c r="B71" s="105">
        <f ca="1"/>
        <v>0</v>
      </c>
      <c r="C71" s="105">
        <f ca="1"/>
        <v>0</v>
      </c>
      <c r="D71" s="105">
        <f ca="1"/>
        <v>0</v>
      </c>
      <c r="E71" s="105">
        <f ca="1"/>
        <v>0</v>
      </c>
      <c r="F71" s="105">
        <f ca="1"/>
        <v>0</v>
      </c>
      <c r="G71" s="105">
        <f ca="1"/>
        <v>0</v>
      </c>
      <c r="H71" s="60"/>
      <c r="I71"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Subtotal 0</v>
      </c>
      <c r="J71" s="122">
        <f>budgetMilestone1[[#This Row],[Milestone 1]]</f>
        <v>0</v>
      </c>
      <c r="K71" s="122">
        <f>budgetMilestone2[[#This Row],[Milestone 2]]</f>
        <v>0</v>
      </c>
      <c r="L71" s="122">
        <f t="shared" ref="L71:O71" si="3">SUBTOTAL(9,L63:L70)</f>
        <v>0</v>
      </c>
      <c r="M71" s="122">
        <f t="shared" ca="1" si="3"/>
        <v>0</v>
      </c>
      <c r="N71" s="122">
        <f t="shared" ca="1" si="3"/>
        <v>0</v>
      </c>
      <c r="O71" s="122">
        <f t="shared" ca="1" si="3"/>
        <v>0</v>
      </c>
      <c r="P71" s="60">
        <f>ROW()-ROW(budgetMilestone3[#Headers])</f>
        <v>54</v>
      </c>
      <c r="Q71" s="60">
        <f>IF(budgetMilestone3[row] &lt;= numCategories +3, budgetMilestone3[row]-1, MOD(budgetMilestone3[row]-1,numCategories+3) + IF(MOD(budgetMilestone3[row]-2,numCategories+2)&gt;numCategories+1, 1,0))</f>
        <v>9</v>
      </c>
      <c r="R71" s="60">
        <f>IFERROR(INDEX(directors[Last],MAX(1,FLOOR((budgetMilestone3[row]-1)/(numCategories+3)+1,1))),1)</f>
        <v>0</v>
      </c>
    </row>
    <row r="72" spans="1:18" ht="15" customHeight="1" x14ac:dyDescent="0.25">
      <c r="A72" s="105" t="str">
        <f ca="1"/>
        <v/>
      </c>
      <c r="B72" s="105">
        <f ca="1"/>
        <v>0</v>
      </c>
      <c r="C72" s="105">
        <f ca="1"/>
        <v>0</v>
      </c>
      <c r="D72" s="105">
        <f ca="1"/>
        <v>0</v>
      </c>
      <c r="E72" s="105">
        <f ca="1"/>
        <v>0</v>
      </c>
      <c r="F72" s="105">
        <f ca="1"/>
        <v>0</v>
      </c>
      <c r="G72" s="105">
        <f ca="1"/>
        <v>0</v>
      </c>
      <c r="H72" s="60"/>
      <c r="I72"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c>
      <c r="J72" s="122">
        <f>budgetMilestone1[[#This Row],[Milestone 1]]</f>
        <v>0</v>
      </c>
      <c r="K72" s="122">
        <f>budgetMilestone2[[#This Row],[Milestone 2]]</f>
        <v>0</v>
      </c>
      <c r="L72" s="122">
        <f>SUMIFS(ARF[Amount in Euro], ARF[Co Director],budgetMilestone3[director], ARF[Category], budgetMilestone3[Category], ARF[Date], "&gt;" &amp; cleanDateMilestone2,ARF[Date], "&lt;=" &amp; cleanDateMilestone3)</f>
        <v>0</v>
      </c>
      <c r="M72" s="122"/>
      <c r="N72" s="122"/>
      <c r="O72" s="122">
        <f>SUM(budgetMilestone3[[#This Row],[Milestone 1]:[Final]])</f>
        <v>0</v>
      </c>
      <c r="P72" s="60">
        <f>ROW()-ROW(budgetMilestone3[#Headers])</f>
        <v>55</v>
      </c>
      <c r="Q72" s="60">
        <f>IF(budgetMilestone3[row] &lt;= numCategories +3, budgetMilestone3[row]-1, MOD(budgetMilestone3[row]-1,numCategories+3) + IF(MOD(budgetMilestone3[row]-2,numCategories+2)&gt;numCategories+1, 1,0))</f>
        <v>10</v>
      </c>
      <c r="R72" s="60">
        <f>IFERROR(INDEX(directors[Last],MAX(1,FLOOR((budgetMilestone3[row]-1)/(numCategories+3)+1,1))),1)</f>
        <v>0</v>
      </c>
    </row>
    <row r="73" spans="1:18" ht="15" customHeight="1" x14ac:dyDescent="0.25">
      <c r="A73" s="105" t="str">
        <f ca="1"/>
        <v xml:space="preserve">0 / </v>
      </c>
      <c r="B73" s="105">
        <f ca="1"/>
        <v>0</v>
      </c>
      <c r="C73" s="105">
        <f ca="1"/>
        <v>0</v>
      </c>
      <c r="D73" s="105">
        <f ca="1"/>
        <v>0</v>
      </c>
      <c r="E73" s="105">
        <f ca="1"/>
        <v>0</v>
      </c>
      <c r="F73" s="105">
        <f ca="1"/>
        <v>0</v>
      </c>
      <c r="G73" s="105">
        <f ca="1"/>
        <v>0</v>
      </c>
      <c r="H73" s="60"/>
      <c r="I73"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xml:space="preserve">0 / </v>
      </c>
      <c r="J73" s="122">
        <f>budgetMilestone1[[#This Row],[Milestone 1]]</f>
        <v>0</v>
      </c>
      <c r="K73" s="122">
        <f>budgetMilestone2[[#This Row],[Milestone 2]]</f>
        <v>0</v>
      </c>
      <c r="L73" s="122">
        <f>SUMIFS(ARF[Amount in Euro], ARF[Co Director],budgetMilestone3[director], ARF[Category], budgetMilestone3[Category], ARF[Date], "&gt;" &amp; cleanDateMilestone2,ARF[Date], "&lt;=" &amp; cleanDateMilestone3)</f>
        <v>0</v>
      </c>
      <c r="M73" s="122"/>
      <c r="N73" s="122"/>
      <c r="O73" s="122">
        <f>SUM(budgetMilestone3[[#This Row],[Milestone 1]:[Final]])</f>
        <v>0</v>
      </c>
      <c r="P73" s="60">
        <f>ROW()-ROW(budgetMilestone3[#Headers])</f>
        <v>56</v>
      </c>
      <c r="Q73" s="60">
        <f>IF(budgetMilestone3[row] &lt;= numCategories +3, budgetMilestone3[row]-1, MOD(budgetMilestone3[row]-1,numCategories+3) + IF(MOD(budgetMilestone3[row]-2,numCategories+2)&gt;numCategories+1, 1,0))</f>
        <v>0</v>
      </c>
      <c r="R73" s="60">
        <f>IFERROR(INDEX(directors[Last],MAX(1,FLOOR((budgetMilestone3[row]-1)/(numCategories+3)+1,1))),1)</f>
        <v>0</v>
      </c>
    </row>
    <row r="74" spans="1:18" ht="15" customHeight="1" x14ac:dyDescent="0.25">
      <c r="A74" s="105" t="str">
        <f ca="1"/>
        <v>Equipment</v>
      </c>
      <c r="B74" s="105">
        <f ca="1"/>
        <v>0</v>
      </c>
      <c r="C74" s="105">
        <f ca="1"/>
        <v>0</v>
      </c>
      <c r="D74" s="105">
        <f ca="1"/>
        <v>0</v>
      </c>
      <c r="E74" s="105">
        <f ca="1"/>
        <v>0</v>
      </c>
      <c r="F74" s="105">
        <f ca="1"/>
        <v>0</v>
      </c>
      <c r="G74" s="105">
        <f ca="1"/>
        <v>0</v>
      </c>
      <c r="H74" s="60"/>
      <c r="I74"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Equipment</v>
      </c>
      <c r="J74" s="122">
        <f>budgetMilestone1[[#This Row],[Milestone 1]]</f>
        <v>0</v>
      </c>
      <c r="K74" s="122">
        <f>budgetMilestone2[[#This Row],[Milestone 2]]</f>
        <v>0</v>
      </c>
      <c r="L74" s="122">
        <f>SUMIFS(ARF[Amount in Euro], ARF[Co Director],budgetMilestone3[director], ARF[Category], budgetMilestone3[Category], ARF[Date], "&gt;" &amp; cleanDateMilestone2,ARF[Date], "&lt;=" &amp; cleanDateMilestone3)</f>
        <v>0</v>
      </c>
      <c r="M74" s="123">
        <f ca="1">'Milestone 3'!$E74</f>
        <v>0</v>
      </c>
      <c r="N74" s="123">
        <f ca="1">'Milestone 3'!$F74</f>
        <v>0</v>
      </c>
      <c r="O74" s="122">
        <f ca="1">SUM(budgetMilestone3[[#This Row],[Milestone 1]:[Final]])</f>
        <v>0</v>
      </c>
      <c r="P74" s="60">
        <f>ROW()-ROW(budgetMilestone3[#Headers])</f>
        <v>57</v>
      </c>
      <c r="Q74" s="60">
        <f>IF(budgetMilestone3[row] &lt;= numCategories +3, budgetMilestone3[row]-1, MOD(budgetMilestone3[row]-1,numCategories+3) + IF(MOD(budgetMilestone3[row]-2,numCategories+2)&gt;numCategories+1, 1,0))</f>
        <v>1</v>
      </c>
      <c r="R74" s="60">
        <f>IFERROR(INDEX(directors[Last],MAX(1,FLOOR((budgetMilestone3[row]-1)/(numCategories+3)+1,1))),1)</f>
        <v>0</v>
      </c>
    </row>
    <row r="75" spans="1:18" ht="15" customHeight="1" x14ac:dyDescent="0.25">
      <c r="A75" s="105" t="str">
        <f ca="1"/>
        <v>Training</v>
      </c>
      <c r="B75" s="105">
        <f ca="1"/>
        <v>0</v>
      </c>
      <c r="C75" s="105">
        <f ca="1"/>
        <v>0</v>
      </c>
      <c r="D75" s="105">
        <f ca="1"/>
        <v>0</v>
      </c>
      <c r="E75" s="105">
        <f ca="1"/>
        <v>0</v>
      </c>
      <c r="F75" s="105">
        <f ca="1"/>
        <v>0</v>
      </c>
      <c r="G75" s="105">
        <f ca="1"/>
        <v>0</v>
      </c>
      <c r="H75" s="60"/>
      <c r="I75"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Training</v>
      </c>
      <c r="J75" s="122">
        <f>budgetMilestone1[[#This Row],[Milestone 1]]</f>
        <v>0</v>
      </c>
      <c r="K75" s="122">
        <f>budgetMilestone2[[#This Row],[Milestone 2]]</f>
        <v>0</v>
      </c>
      <c r="L75" s="122">
        <f>SUMIFS(ARF[Amount in Euro], ARF[Co Director],budgetMilestone3[director], ARF[Category], budgetMilestone3[Category], ARF[Date], "&gt;" &amp; cleanDateMilestone2,ARF[Date], "&lt;=" &amp; cleanDateMilestone3)</f>
        <v>0</v>
      </c>
      <c r="M75" s="123">
        <f ca="1">'Milestone 3'!$E75</f>
        <v>0</v>
      </c>
      <c r="N75" s="123">
        <f ca="1">'Milestone 3'!$F75</f>
        <v>0</v>
      </c>
      <c r="O75" s="122">
        <f ca="1">SUM(budgetMilestone3[[#This Row],[Milestone 1]:[Final]])</f>
        <v>0</v>
      </c>
      <c r="P75" s="60">
        <f>ROW()-ROW(budgetMilestone3[#Headers])</f>
        <v>58</v>
      </c>
      <c r="Q75" s="60">
        <f>IF(budgetMilestone3[row] &lt;= numCategories +3, budgetMilestone3[row]-1, MOD(budgetMilestone3[row]-1,numCategories+3) + IF(MOD(budgetMilestone3[row]-2,numCategories+2)&gt;numCategories+1, 1,0))</f>
        <v>2</v>
      </c>
      <c r="R75" s="60">
        <f>IFERROR(INDEX(directors[Last],MAX(1,FLOOR((budgetMilestone3[row]-1)/(numCategories+3)+1,1))),1)</f>
        <v>0</v>
      </c>
    </row>
    <row r="76" spans="1:18" ht="15" customHeight="1" x14ac:dyDescent="0.25">
      <c r="A76" s="105" t="str">
        <f ca="1"/>
        <v>Communication &amp; Publication</v>
      </c>
      <c r="B76" s="105">
        <f ca="1"/>
        <v>0</v>
      </c>
      <c r="C76" s="105">
        <f ca="1"/>
        <v>0</v>
      </c>
      <c r="D76" s="105">
        <f ca="1"/>
        <v>0</v>
      </c>
      <c r="E76" s="105">
        <f ca="1"/>
        <v>0</v>
      </c>
      <c r="F76" s="105">
        <f ca="1"/>
        <v>0</v>
      </c>
      <c r="G76" s="105">
        <f ca="1"/>
        <v>0</v>
      </c>
      <c r="H76" s="60"/>
      <c r="I76"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Communication &amp; Publication</v>
      </c>
      <c r="J76" s="122">
        <f>budgetMilestone1[[#This Row],[Milestone 1]]</f>
        <v>0</v>
      </c>
      <c r="K76" s="122">
        <f>budgetMilestone2[[#This Row],[Milestone 2]]</f>
        <v>0</v>
      </c>
      <c r="L76" s="122">
        <f>SUMIFS(ARF[Amount in Euro], ARF[Co Director],budgetMilestone3[director], ARF[Category], budgetMilestone3[Category], ARF[Date], "&gt;" &amp; cleanDateMilestone2,ARF[Date], "&lt;=" &amp; cleanDateMilestone3)</f>
        <v>0</v>
      </c>
      <c r="M76" s="123">
        <f ca="1">'Milestone 3'!$E76</f>
        <v>0</v>
      </c>
      <c r="N76" s="123">
        <f ca="1">'Milestone 3'!$F76</f>
        <v>0</v>
      </c>
      <c r="O76" s="122">
        <f ca="1">SUM(budgetMilestone3[[#This Row],[Milestone 1]:[Final]])</f>
        <v>0</v>
      </c>
      <c r="P76" s="60">
        <f>ROW()-ROW(budgetMilestone3[#Headers])</f>
        <v>59</v>
      </c>
      <c r="Q76" s="60">
        <f>IF(budgetMilestone3[row] &lt;= numCategories +3, budgetMilestone3[row]-1, MOD(budgetMilestone3[row]-1,numCategories+3) + IF(MOD(budgetMilestone3[row]-2,numCategories+2)&gt;numCategories+1, 1,0))</f>
        <v>3</v>
      </c>
      <c r="R76" s="60">
        <f>IFERROR(INDEX(directors[Last],MAX(1,FLOOR((budgetMilestone3[row]-1)/(numCategories+3)+1,1))),1)</f>
        <v>0</v>
      </c>
    </row>
    <row r="77" spans="1:18" ht="15" customHeight="1" x14ac:dyDescent="0.25">
      <c r="A77" s="105" t="str">
        <f ca="1"/>
        <v>Travel</v>
      </c>
      <c r="B77" s="105">
        <f ca="1"/>
        <v>0</v>
      </c>
      <c r="C77" s="105">
        <f ca="1"/>
        <v>0</v>
      </c>
      <c r="D77" s="105">
        <f ca="1"/>
        <v>0</v>
      </c>
      <c r="E77" s="105">
        <f ca="1"/>
        <v>0</v>
      </c>
      <c r="F77" s="105">
        <f ca="1"/>
        <v>0</v>
      </c>
      <c r="G77" s="105">
        <f ca="1"/>
        <v>0</v>
      </c>
      <c r="H77" s="60"/>
      <c r="I77"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Travel</v>
      </c>
      <c r="J77" s="122">
        <f>budgetMilestone1[[#This Row],[Milestone 1]]</f>
        <v>0</v>
      </c>
      <c r="K77" s="122">
        <f>budgetMilestone2[[#This Row],[Milestone 2]]</f>
        <v>0</v>
      </c>
      <c r="L77" s="122">
        <f>SUMIFS(ARF[Amount in Euro], ARF[Co Director],budgetMilestone3[director], ARF[Category], budgetMilestone3[Category], ARF[Date], "&gt;" &amp; cleanDateMilestone2,ARF[Date], "&lt;=" &amp; cleanDateMilestone3)</f>
        <v>0</v>
      </c>
      <c r="M77" s="123">
        <f ca="1">'Milestone 3'!$E77</f>
        <v>0</v>
      </c>
      <c r="N77" s="123">
        <f ca="1">'Milestone 3'!$F77</f>
        <v>0</v>
      </c>
      <c r="O77" s="122">
        <f ca="1">SUM(budgetMilestone3[[#This Row],[Milestone 1]:[Final]])</f>
        <v>0</v>
      </c>
      <c r="P77" s="60">
        <f>ROW()-ROW(budgetMilestone3[#Headers])</f>
        <v>60</v>
      </c>
      <c r="Q77" s="60">
        <f>IF(budgetMilestone3[row] &lt;= numCategories +3, budgetMilestone3[row]-1, MOD(budgetMilestone3[row]-1,numCategories+3) + IF(MOD(budgetMilestone3[row]-2,numCategories+2)&gt;numCategories+1, 1,0))</f>
        <v>4</v>
      </c>
      <c r="R77" s="60">
        <f>IFERROR(INDEX(directors[Last],MAX(1,FLOOR((budgetMilestone3[row]-1)/(numCategories+3)+1,1))),1)</f>
        <v>0</v>
      </c>
    </row>
    <row r="78" spans="1:18" ht="15" customHeight="1" x14ac:dyDescent="0.25">
      <c r="A78" s="105" t="str">
        <f ca="1"/>
        <v>Consumables</v>
      </c>
      <c r="B78" s="105">
        <f ca="1"/>
        <v>0</v>
      </c>
      <c r="C78" s="105">
        <f ca="1"/>
        <v>0</v>
      </c>
      <c r="D78" s="105">
        <f ca="1"/>
        <v>0</v>
      </c>
      <c r="E78" s="105">
        <f ca="1"/>
        <v>0</v>
      </c>
      <c r="F78" s="105">
        <f ca="1"/>
        <v>0</v>
      </c>
      <c r="G78" s="105">
        <f ca="1"/>
        <v>0</v>
      </c>
      <c r="H78" s="60"/>
      <c r="I78"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Consumables</v>
      </c>
      <c r="J78" s="122">
        <f>budgetMilestone1[[#This Row],[Milestone 1]]</f>
        <v>0</v>
      </c>
      <c r="K78" s="122">
        <f>budgetMilestone2[[#This Row],[Milestone 2]]</f>
        <v>0</v>
      </c>
      <c r="L78" s="122">
        <f>SUMIFS(ARF[Amount in Euro], ARF[Co Director],budgetMilestone3[director], ARF[Category], budgetMilestone3[Category], ARF[Date], "&gt;" &amp; cleanDateMilestone2,ARF[Date], "&lt;=" &amp; cleanDateMilestone3)</f>
        <v>0</v>
      </c>
      <c r="M78" s="123">
        <f ca="1">'Milestone 3'!$E78</f>
        <v>0</v>
      </c>
      <c r="N78" s="123">
        <f ca="1">'Milestone 3'!$F78</f>
        <v>0</v>
      </c>
      <c r="O78" s="122">
        <f ca="1">SUM(budgetMilestone3[[#This Row],[Milestone 1]:[Final]])</f>
        <v>0</v>
      </c>
      <c r="P78" s="60">
        <f>ROW()-ROW(budgetMilestone3[#Headers])</f>
        <v>61</v>
      </c>
      <c r="Q78" s="60">
        <f>IF(budgetMilestone3[row] &lt;= numCategories +3, budgetMilestone3[row]-1, MOD(budgetMilestone3[row]-1,numCategories+3) + IF(MOD(budgetMilestone3[row]-2,numCategories+2)&gt;numCategories+1, 1,0))</f>
        <v>5</v>
      </c>
      <c r="R78" s="60">
        <f>IFERROR(INDEX(directors[Last],MAX(1,FLOOR((budgetMilestone3[row]-1)/(numCategories+3)+1,1))),1)</f>
        <v>0</v>
      </c>
    </row>
    <row r="79" spans="1:18" ht="15" customHeight="1" x14ac:dyDescent="0.25">
      <c r="A79" s="105" t="str">
        <f ca="1"/>
        <v>Other</v>
      </c>
      <c r="B79" s="105">
        <f ca="1"/>
        <v>0</v>
      </c>
      <c r="C79" s="105">
        <f ca="1"/>
        <v>0</v>
      </c>
      <c r="D79" s="105">
        <f ca="1"/>
        <v>0</v>
      </c>
      <c r="E79" s="105">
        <f ca="1"/>
        <v>0</v>
      </c>
      <c r="F79" s="105">
        <f ca="1"/>
        <v>0</v>
      </c>
      <c r="G79" s="105">
        <f ca="1"/>
        <v>0</v>
      </c>
      <c r="H79" s="60"/>
      <c r="I79"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Other</v>
      </c>
      <c r="J79" s="122">
        <f>budgetMilestone1[[#This Row],[Milestone 1]]</f>
        <v>0</v>
      </c>
      <c r="K79" s="122">
        <f>budgetMilestone2[[#This Row],[Milestone 2]]</f>
        <v>0</v>
      </c>
      <c r="L79" s="122">
        <f>SUMIFS(ARF[Amount in Euro], ARF[Co Director],budgetMilestone3[director], ARF[Category], budgetMilestone3[Category], ARF[Date], "&gt;" &amp; cleanDateMilestone2,ARF[Date], "&lt;=" &amp; cleanDateMilestone3)</f>
        <v>0</v>
      </c>
      <c r="M79" s="123">
        <f ca="1">'Milestone 3'!$E79</f>
        <v>0</v>
      </c>
      <c r="N79" s="123">
        <f ca="1">'Milestone 3'!$F79</f>
        <v>0</v>
      </c>
      <c r="O79" s="122">
        <f ca="1">SUM(budgetMilestone3[[#This Row],[Milestone 1]:[Final]])</f>
        <v>0</v>
      </c>
      <c r="P79" s="60">
        <f>ROW()-ROW(budgetMilestone3[#Headers])</f>
        <v>62</v>
      </c>
      <c r="Q79" s="60">
        <f>IF(budgetMilestone3[row] &lt;= numCategories +3, budgetMilestone3[row]-1, MOD(budgetMilestone3[row]-1,numCategories+3) + IF(MOD(budgetMilestone3[row]-2,numCategories+2)&gt;numCategories+1, 1,0))</f>
        <v>6</v>
      </c>
      <c r="R79" s="60">
        <f>IFERROR(INDEX(directors[Last],MAX(1,FLOOR((budgetMilestone3[row]-1)/(numCategories+3)+1,1))),1)</f>
        <v>0</v>
      </c>
    </row>
    <row r="80" spans="1:18" ht="15" customHeight="1" x14ac:dyDescent="0.25">
      <c r="A80" s="105" t="str">
        <f ca="1"/>
        <v>Stipends</v>
      </c>
      <c r="B80" s="105">
        <f ca="1"/>
        <v>0</v>
      </c>
      <c r="C80" s="105">
        <f ca="1"/>
        <v>0</v>
      </c>
      <c r="D80" s="105">
        <f ca="1"/>
        <v>0</v>
      </c>
      <c r="E80" s="105">
        <f ca="1"/>
        <v>0</v>
      </c>
      <c r="F80" s="105">
        <f ca="1"/>
        <v>0</v>
      </c>
      <c r="G80" s="105">
        <f ca="1"/>
        <v>0</v>
      </c>
      <c r="H80" s="60"/>
      <c r="I80"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Stipends</v>
      </c>
      <c r="J80" s="122">
        <f>budgetMilestone1[[#This Row],[Milestone 1]]</f>
        <v>0</v>
      </c>
      <c r="K80" s="122">
        <f>budgetMilestone2[[#This Row],[Milestone 2]]</f>
        <v>0</v>
      </c>
      <c r="L80" s="122">
        <f>SUMIFS(ARF[Amount in Euro], ARF[Co Director],budgetMilestone3[director], ARF[Category], budgetMilestone3[Category], ARF[Date], "&gt;" &amp; cleanDateMilestone2,ARF[Date], "&lt;=" &amp; cleanDateMilestone3)</f>
        <v>0</v>
      </c>
      <c r="M80" s="123">
        <f ca="1">'Milestone 3'!$E80</f>
        <v>0</v>
      </c>
      <c r="N80" s="123">
        <f ca="1">'Milestone 3'!$F80</f>
        <v>0</v>
      </c>
      <c r="O80" s="122">
        <f ca="1">SUM(budgetMilestone3[[#This Row],[Milestone 1]:[Final]])</f>
        <v>0</v>
      </c>
      <c r="P80" s="60">
        <f>ROW()-ROW(budgetMilestone3[#Headers])</f>
        <v>63</v>
      </c>
      <c r="Q80" s="60">
        <f>IF(budgetMilestone3[row] &lt;= numCategories +3, budgetMilestone3[row]-1, MOD(budgetMilestone3[row]-1,numCategories+3) + IF(MOD(budgetMilestone3[row]-2,numCategories+2)&gt;numCategories+1, 1,0))</f>
        <v>7</v>
      </c>
      <c r="R80" s="60">
        <f>IFERROR(INDEX(directors[Last],MAX(1,FLOOR((budgetMilestone3[row]-1)/(numCategories+3)+1,1))),1)</f>
        <v>0</v>
      </c>
    </row>
    <row r="81" spans="1:18" ht="15" customHeight="1" x14ac:dyDescent="0.25">
      <c r="A81" s="105" t="str">
        <f ca="1"/>
        <v>Co-financing of personnel</v>
      </c>
      <c r="B81" s="105">
        <f ca="1"/>
        <v>0</v>
      </c>
      <c r="C81" s="105">
        <f ca="1"/>
        <v>0</v>
      </c>
      <c r="D81" s="105">
        <f ca="1"/>
        <v>0</v>
      </c>
      <c r="E81" s="105">
        <f ca="1"/>
        <v>0</v>
      </c>
      <c r="F81" s="105">
        <f ca="1"/>
        <v>0</v>
      </c>
      <c r="G81" s="105">
        <f ca="1"/>
        <v>0</v>
      </c>
      <c r="H81" s="60"/>
      <c r="I81"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Co-financing of personnel</v>
      </c>
      <c r="J81" s="122">
        <f>budgetMilestone1[[#This Row],[Milestone 1]]</f>
        <v>0</v>
      </c>
      <c r="K81" s="122">
        <f>budgetMilestone2[[#This Row],[Milestone 2]]</f>
        <v>0</v>
      </c>
      <c r="L81" s="122">
        <f>SUMIFS(ARF[Amount in Euro], ARF[Co Director],budgetMilestone3[director], ARF[Category], budgetMilestone3[Category], ARF[Date], "&gt;" &amp; cleanDateMilestone2,ARF[Date], "&lt;=" &amp; cleanDateMilestone3)</f>
        <v>0</v>
      </c>
      <c r="M81" s="123">
        <f ca="1">'Milestone 3'!$E81</f>
        <v>0</v>
      </c>
      <c r="N81" s="123">
        <f ca="1">'Milestone 3'!$F81</f>
        <v>0</v>
      </c>
      <c r="O81" s="122">
        <f ca="1">SUM(budgetMilestone3[[#This Row],[Milestone 1]:[Final]])</f>
        <v>0</v>
      </c>
      <c r="P81" s="60">
        <f>ROW()-ROW(budgetMilestone3[#Headers])</f>
        <v>64</v>
      </c>
      <c r="Q81" s="60">
        <f>IF(budgetMilestone3[row] &lt;= numCategories +3, budgetMilestone3[row]-1, MOD(budgetMilestone3[row]-1,numCategories+3) + IF(MOD(budgetMilestone3[row]-2,numCategories+2)&gt;numCategories+1, 1,0))</f>
        <v>8</v>
      </c>
      <c r="R81" s="60">
        <f>IFERROR(INDEX(directors[Last],MAX(1,FLOOR((budgetMilestone3[row]-1)/(numCategories+3)+1,1))),1)</f>
        <v>0</v>
      </c>
    </row>
    <row r="82" spans="1:18" ht="15" customHeight="1" x14ac:dyDescent="0.25">
      <c r="A82" s="105" t="str">
        <f ca="1"/>
        <v>Subtotal 0</v>
      </c>
      <c r="B82" s="105">
        <f ca="1"/>
        <v>0</v>
      </c>
      <c r="C82" s="105">
        <f ca="1"/>
        <v>0</v>
      </c>
      <c r="D82" s="105">
        <f ca="1"/>
        <v>0</v>
      </c>
      <c r="E82" s="105">
        <f ca="1"/>
        <v>0</v>
      </c>
      <c r="F82" s="105">
        <f ca="1"/>
        <v>0</v>
      </c>
      <c r="G82" s="105">
        <f ca="1"/>
        <v>0</v>
      </c>
      <c r="H82" s="60"/>
      <c r="I82"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Subtotal 0</v>
      </c>
      <c r="J82" s="122">
        <f>budgetMilestone1[[#This Row],[Milestone 1]]</f>
        <v>0</v>
      </c>
      <c r="K82" s="122">
        <f>budgetMilestone2[[#This Row],[Milestone 2]]</f>
        <v>0</v>
      </c>
      <c r="L82" s="122">
        <f t="shared" ref="L82:O82" si="4">SUBTOTAL(9,L74:L81)</f>
        <v>0</v>
      </c>
      <c r="M82" s="122">
        <f t="shared" ca="1" si="4"/>
        <v>0</v>
      </c>
      <c r="N82" s="122">
        <f t="shared" ca="1" si="4"/>
        <v>0</v>
      </c>
      <c r="O82" s="122">
        <f t="shared" ca="1" si="4"/>
        <v>0</v>
      </c>
      <c r="P82" s="60">
        <f>ROW()-ROW(budgetMilestone3[#Headers])</f>
        <v>65</v>
      </c>
      <c r="Q82" s="60">
        <f>IF(budgetMilestone3[row] &lt;= numCategories +3, budgetMilestone3[row]-1, MOD(budgetMilestone3[row]-1,numCategories+3) + IF(MOD(budgetMilestone3[row]-2,numCategories+2)&gt;numCategories+1, 1,0))</f>
        <v>9</v>
      </c>
      <c r="R82" s="60">
        <f>IFERROR(INDEX(directors[Last],MAX(1,FLOOR((budgetMilestone3[row]-1)/(numCategories+3)+1,1))),1)</f>
        <v>0</v>
      </c>
    </row>
    <row r="83" spans="1:18" ht="15" customHeight="1" x14ac:dyDescent="0.25">
      <c r="A83" s="105" t="str">
        <f ca="1"/>
        <v/>
      </c>
      <c r="B83" s="105">
        <f ca="1"/>
        <v>0</v>
      </c>
      <c r="C83" s="105">
        <f ca="1"/>
        <v>0</v>
      </c>
      <c r="D83" s="105">
        <f ca="1"/>
        <v>0</v>
      </c>
      <c r="E83" s="105">
        <f ca="1"/>
        <v>0</v>
      </c>
      <c r="F83" s="105">
        <f ca="1"/>
        <v>0</v>
      </c>
      <c r="G83" s="105">
        <f ca="1"/>
        <v>0</v>
      </c>
      <c r="H83" s="60"/>
      <c r="I83"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c>
      <c r="J83" s="122">
        <f>budgetMilestone1[[#This Row],[Milestone 1]]</f>
        <v>0</v>
      </c>
      <c r="K83" s="122">
        <f>budgetMilestone2[[#This Row],[Milestone 2]]</f>
        <v>0</v>
      </c>
      <c r="L83" s="122">
        <f>SUMIFS(ARF[Amount in Euro], ARF[Co Director],budgetMilestone3[director], ARF[Category], budgetMilestone3[Category], ARF[Date], "&gt;" &amp; cleanDateMilestone2,ARF[Date], "&lt;=" &amp; cleanDateMilestone3)</f>
        <v>0</v>
      </c>
      <c r="M83" s="122"/>
      <c r="N83" s="122"/>
      <c r="O83" s="122">
        <f>SUM(budgetMilestone3[[#This Row],[Milestone 1]:[Final]])</f>
        <v>0</v>
      </c>
      <c r="P83" s="60">
        <f>ROW()-ROW(budgetMilestone3[#Headers])</f>
        <v>66</v>
      </c>
      <c r="Q83" s="60">
        <f>IF(budgetMilestone3[row] &lt;= numCategories +3, budgetMilestone3[row]-1, MOD(budgetMilestone3[row]-1,numCategories+3) + IF(MOD(budgetMilestone3[row]-2,numCategories+2)&gt;numCategories+1, 1,0))</f>
        <v>10</v>
      </c>
      <c r="R83" s="60">
        <f>IFERROR(INDEX(directors[Last],MAX(1,FLOOR((budgetMilestone3[row]-1)/(numCategories+3)+1,1))),1)</f>
        <v>0</v>
      </c>
    </row>
    <row r="84" spans="1:18" ht="15" customHeight="1" x14ac:dyDescent="0.25">
      <c r="A84" s="105" t="str">
        <f ca="1"/>
        <v xml:space="preserve">0 / </v>
      </c>
      <c r="B84" s="105">
        <f ca="1"/>
        <v>0</v>
      </c>
      <c r="C84" s="105">
        <f ca="1"/>
        <v>0</v>
      </c>
      <c r="D84" s="105">
        <f ca="1"/>
        <v>0</v>
      </c>
      <c r="E84" s="105">
        <f ca="1"/>
        <v>0</v>
      </c>
      <c r="F84" s="105">
        <f ca="1"/>
        <v>0</v>
      </c>
      <c r="G84" s="105">
        <f ca="1"/>
        <v>0</v>
      </c>
      <c r="H84" s="60"/>
      <c r="I84"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xml:space="preserve">0 / </v>
      </c>
      <c r="J84" s="122">
        <f>budgetMilestone1[[#This Row],[Milestone 1]]</f>
        <v>0</v>
      </c>
      <c r="K84" s="122">
        <f>budgetMilestone2[[#This Row],[Milestone 2]]</f>
        <v>0</v>
      </c>
      <c r="L84" s="122">
        <f>SUMIFS(ARF[Amount in Euro], ARF[Co Director],budgetMilestone3[director], ARF[Category], budgetMilestone3[Category], ARF[Date], "&gt;" &amp; cleanDateMilestone2,ARF[Date], "&lt;=" &amp; cleanDateMilestone3)</f>
        <v>0</v>
      </c>
      <c r="M84" s="122"/>
      <c r="N84" s="122"/>
      <c r="O84" s="122">
        <f>SUM(budgetMilestone3[[#This Row],[Milestone 1]:[Final]])</f>
        <v>0</v>
      </c>
      <c r="P84" s="60">
        <f>ROW()-ROW(budgetMilestone3[#Headers])</f>
        <v>67</v>
      </c>
      <c r="Q84" s="60">
        <f>IF(budgetMilestone3[row] &lt;= numCategories +3, budgetMilestone3[row]-1, MOD(budgetMilestone3[row]-1,numCategories+3) + IF(MOD(budgetMilestone3[row]-2,numCategories+2)&gt;numCategories+1, 1,0))</f>
        <v>0</v>
      </c>
      <c r="R84" s="60">
        <f>IFERROR(INDEX(directors[Last],MAX(1,FLOOR((budgetMilestone3[row]-1)/(numCategories+3)+1,1))),1)</f>
        <v>0</v>
      </c>
    </row>
    <row r="85" spans="1:18" ht="15" customHeight="1" x14ac:dyDescent="0.25">
      <c r="A85" s="105" t="str">
        <f ca="1"/>
        <v>Equipment</v>
      </c>
      <c r="B85" s="105">
        <f ca="1"/>
        <v>0</v>
      </c>
      <c r="C85" s="105">
        <f ca="1"/>
        <v>0</v>
      </c>
      <c r="D85" s="105">
        <f ca="1"/>
        <v>0</v>
      </c>
      <c r="E85" s="105">
        <f ca="1"/>
        <v>0</v>
      </c>
      <c r="F85" s="105">
        <f ca="1"/>
        <v>0</v>
      </c>
      <c r="G85" s="105">
        <f ca="1"/>
        <v>0</v>
      </c>
      <c r="H85" s="60"/>
      <c r="I85"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Equipment</v>
      </c>
      <c r="J85" s="122">
        <f>budgetMilestone1[[#This Row],[Milestone 1]]</f>
        <v>0</v>
      </c>
      <c r="K85" s="122">
        <f>budgetMilestone2[[#This Row],[Milestone 2]]</f>
        <v>0</v>
      </c>
      <c r="L85" s="122">
        <f>SUMIFS(ARF[Amount in Euro], ARF[Co Director],budgetMilestone3[director], ARF[Category], budgetMilestone3[Category], ARF[Date], "&gt;" &amp; cleanDateMilestone2,ARF[Date], "&lt;=" &amp; cleanDateMilestone3)</f>
        <v>0</v>
      </c>
      <c r="M85" s="123">
        <f ca="1">'Milestone 3'!$E85</f>
        <v>0</v>
      </c>
      <c r="N85" s="123">
        <f ca="1">'Milestone 3'!$F85</f>
        <v>0</v>
      </c>
      <c r="O85" s="122">
        <f ca="1">SUM(budgetMilestone3[[#This Row],[Milestone 1]:[Final]])</f>
        <v>0</v>
      </c>
      <c r="P85" s="60">
        <f>ROW()-ROW(budgetMilestone3[#Headers])</f>
        <v>68</v>
      </c>
      <c r="Q85" s="60">
        <f>IF(budgetMilestone3[row] &lt;= numCategories +3, budgetMilestone3[row]-1, MOD(budgetMilestone3[row]-1,numCategories+3) + IF(MOD(budgetMilestone3[row]-2,numCategories+2)&gt;numCategories+1, 1,0))</f>
        <v>1</v>
      </c>
      <c r="R85" s="60">
        <f>IFERROR(INDEX(directors[Last],MAX(1,FLOOR((budgetMilestone3[row]-1)/(numCategories+3)+1,1))),1)</f>
        <v>0</v>
      </c>
    </row>
    <row r="86" spans="1:18" ht="15" customHeight="1" x14ac:dyDescent="0.25">
      <c r="A86" s="105" t="str">
        <f ca="1"/>
        <v>Training</v>
      </c>
      <c r="B86" s="105">
        <f ca="1"/>
        <v>0</v>
      </c>
      <c r="C86" s="105">
        <f ca="1"/>
        <v>0</v>
      </c>
      <c r="D86" s="105">
        <f ca="1"/>
        <v>0</v>
      </c>
      <c r="E86" s="105">
        <f ca="1"/>
        <v>0</v>
      </c>
      <c r="F86" s="105">
        <f ca="1"/>
        <v>0</v>
      </c>
      <c r="G86" s="105">
        <f ca="1"/>
        <v>0</v>
      </c>
      <c r="H86" s="60"/>
      <c r="I86"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Training</v>
      </c>
      <c r="J86" s="122">
        <f>budgetMilestone1[[#This Row],[Milestone 1]]</f>
        <v>0</v>
      </c>
      <c r="K86" s="122">
        <f>budgetMilestone2[[#This Row],[Milestone 2]]</f>
        <v>0</v>
      </c>
      <c r="L86" s="122">
        <f>SUMIFS(ARF[Amount in Euro], ARF[Co Director],budgetMilestone3[director], ARF[Category], budgetMilestone3[Category], ARF[Date], "&gt;" &amp; cleanDateMilestone2,ARF[Date], "&lt;=" &amp; cleanDateMilestone3)</f>
        <v>0</v>
      </c>
      <c r="M86" s="123">
        <f ca="1">'Milestone 3'!$E86</f>
        <v>0</v>
      </c>
      <c r="N86" s="123">
        <f ca="1">'Milestone 3'!$F86</f>
        <v>0</v>
      </c>
      <c r="O86" s="122">
        <f ca="1">SUM(budgetMilestone3[[#This Row],[Milestone 1]:[Final]])</f>
        <v>0</v>
      </c>
      <c r="P86" s="60">
        <f>ROW()-ROW(budgetMilestone3[#Headers])</f>
        <v>69</v>
      </c>
      <c r="Q86" s="60">
        <f>IF(budgetMilestone3[row] &lt;= numCategories +3, budgetMilestone3[row]-1, MOD(budgetMilestone3[row]-1,numCategories+3) + IF(MOD(budgetMilestone3[row]-2,numCategories+2)&gt;numCategories+1, 1,0))</f>
        <v>2</v>
      </c>
      <c r="R86" s="60">
        <f>IFERROR(INDEX(directors[Last],MAX(1,FLOOR((budgetMilestone3[row]-1)/(numCategories+3)+1,1))),1)</f>
        <v>0</v>
      </c>
    </row>
    <row r="87" spans="1:18" ht="15" customHeight="1" x14ac:dyDescent="0.25">
      <c r="A87" s="105" t="str">
        <f ca="1"/>
        <v>Communication &amp; Publication</v>
      </c>
      <c r="B87" s="105">
        <f ca="1"/>
        <v>0</v>
      </c>
      <c r="C87" s="105">
        <f ca="1"/>
        <v>0</v>
      </c>
      <c r="D87" s="105">
        <f ca="1"/>
        <v>0</v>
      </c>
      <c r="E87" s="105">
        <f ca="1"/>
        <v>0</v>
      </c>
      <c r="F87" s="105">
        <f ca="1"/>
        <v>0</v>
      </c>
      <c r="G87" s="105">
        <f ca="1"/>
        <v>0</v>
      </c>
      <c r="H87" s="60"/>
      <c r="I87"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Communication &amp; Publication</v>
      </c>
      <c r="J87" s="122">
        <f>budgetMilestone1[[#This Row],[Milestone 1]]</f>
        <v>0</v>
      </c>
      <c r="K87" s="122">
        <f>budgetMilestone2[[#This Row],[Milestone 2]]</f>
        <v>0</v>
      </c>
      <c r="L87" s="122">
        <f>SUMIFS(ARF[Amount in Euro], ARF[Co Director],budgetMilestone3[director], ARF[Category], budgetMilestone3[Category], ARF[Date], "&gt;" &amp; cleanDateMilestone2,ARF[Date], "&lt;=" &amp; cleanDateMilestone3)</f>
        <v>0</v>
      </c>
      <c r="M87" s="123">
        <f ca="1">'Milestone 3'!$E87</f>
        <v>0</v>
      </c>
      <c r="N87" s="123">
        <f ca="1">'Milestone 3'!$F87</f>
        <v>0</v>
      </c>
      <c r="O87" s="122">
        <f ca="1">SUM(budgetMilestone3[[#This Row],[Milestone 1]:[Final]])</f>
        <v>0</v>
      </c>
      <c r="P87" s="60">
        <f>ROW()-ROW(budgetMilestone3[#Headers])</f>
        <v>70</v>
      </c>
      <c r="Q87" s="60">
        <f>IF(budgetMilestone3[row] &lt;= numCategories +3, budgetMilestone3[row]-1, MOD(budgetMilestone3[row]-1,numCategories+3) + IF(MOD(budgetMilestone3[row]-2,numCategories+2)&gt;numCategories+1, 1,0))</f>
        <v>3</v>
      </c>
      <c r="R87" s="60">
        <f>IFERROR(INDEX(directors[Last],MAX(1,FLOOR((budgetMilestone3[row]-1)/(numCategories+3)+1,1))),1)</f>
        <v>0</v>
      </c>
    </row>
    <row r="88" spans="1:18" ht="15" customHeight="1" x14ac:dyDescent="0.25">
      <c r="A88" s="105" t="str">
        <f ca="1"/>
        <v>Travel</v>
      </c>
      <c r="B88" s="105">
        <f ca="1"/>
        <v>0</v>
      </c>
      <c r="C88" s="105">
        <f ca="1"/>
        <v>0</v>
      </c>
      <c r="D88" s="105">
        <f ca="1"/>
        <v>0</v>
      </c>
      <c r="E88" s="105">
        <f ca="1"/>
        <v>0</v>
      </c>
      <c r="F88" s="105">
        <f ca="1"/>
        <v>0</v>
      </c>
      <c r="G88" s="105">
        <f ca="1"/>
        <v>0</v>
      </c>
      <c r="H88" s="60"/>
      <c r="I88"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Travel</v>
      </c>
      <c r="J88" s="122">
        <f>budgetMilestone1[[#This Row],[Milestone 1]]</f>
        <v>0</v>
      </c>
      <c r="K88" s="122">
        <f>budgetMilestone2[[#This Row],[Milestone 2]]</f>
        <v>0</v>
      </c>
      <c r="L88" s="122">
        <f>SUMIFS(ARF[Amount in Euro], ARF[Co Director],budgetMilestone3[director], ARF[Category], budgetMilestone3[Category], ARF[Date], "&gt;" &amp; cleanDateMilestone2,ARF[Date], "&lt;=" &amp; cleanDateMilestone3)</f>
        <v>0</v>
      </c>
      <c r="M88" s="123">
        <f ca="1">'Milestone 3'!$E88</f>
        <v>0</v>
      </c>
      <c r="N88" s="123">
        <f ca="1">'Milestone 3'!$F88</f>
        <v>0</v>
      </c>
      <c r="O88" s="122">
        <f ca="1">SUM(budgetMilestone3[[#This Row],[Milestone 1]:[Final]])</f>
        <v>0</v>
      </c>
      <c r="P88" s="60">
        <f>ROW()-ROW(budgetMilestone3[#Headers])</f>
        <v>71</v>
      </c>
      <c r="Q88" s="60">
        <f>IF(budgetMilestone3[row] &lt;= numCategories +3, budgetMilestone3[row]-1, MOD(budgetMilestone3[row]-1,numCategories+3) + IF(MOD(budgetMilestone3[row]-2,numCategories+2)&gt;numCategories+1, 1,0))</f>
        <v>4</v>
      </c>
      <c r="R88" s="60">
        <f>IFERROR(INDEX(directors[Last],MAX(1,FLOOR((budgetMilestone3[row]-1)/(numCategories+3)+1,1))),1)</f>
        <v>0</v>
      </c>
    </row>
    <row r="89" spans="1:18" ht="15" customHeight="1" x14ac:dyDescent="0.25">
      <c r="A89" s="105" t="str">
        <f ca="1"/>
        <v>Consumables</v>
      </c>
      <c r="B89" s="105">
        <f ca="1"/>
        <v>0</v>
      </c>
      <c r="C89" s="105">
        <f ca="1"/>
        <v>0</v>
      </c>
      <c r="D89" s="105">
        <f ca="1"/>
        <v>0</v>
      </c>
      <c r="E89" s="105">
        <f ca="1"/>
        <v>0</v>
      </c>
      <c r="F89" s="105">
        <f ca="1"/>
        <v>0</v>
      </c>
      <c r="G89" s="105">
        <f ca="1"/>
        <v>0</v>
      </c>
      <c r="H89" s="60"/>
      <c r="I89"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Consumables</v>
      </c>
      <c r="J89" s="122">
        <f>budgetMilestone1[[#This Row],[Milestone 1]]</f>
        <v>0</v>
      </c>
      <c r="K89" s="122">
        <f>budgetMilestone2[[#This Row],[Milestone 2]]</f>
        <v>0</v>
      </c>
      <c r="L89" s="122">
        <f>SUMIFS(ARF[Amount in Euro], ARF[Co Director],budgetMilestone3[director], ARF[Category], budgetMilestone3[Category], ARF[Date], "&gt;" &amp; cleanDateMilestone2,ARF[Date], "&lt;=" &amp; cleanDateMilestone3)</f>
        <v>0</v>
      </c>
      <c r="M89" s="123">
        <f ca="1">'Milestone 3'!$E89</f>
        <v>0</v>
      </c>
      <c r="N89" s="123">
        <f ca="1">'Milestone 3'!$F89</f>
        <v>0</v>
      </c>
      <c r="O89" s="122">
        <f ca="1">SUM(budgetMilestone3[[#This Row],[Milestone 1]:[Final]])</f>
        <v>0</v>
      </c>
      <c r="P89" s="60">
        <f>ROW()-ROW(budgetMilestone3[#Headers])</f>
        <v>72</v>
      </c>
      <c r="Q89" s="60">
        <f>IF(budgetMilestone3[row] &lt;= numCategories +3, budgetMilestone3[row]-1, MOD(budgetMilestone3[row]-1,numCategories+3) + IF(MOD(budgetMilestone3[row]-2,numCategories+2)&gt;numCategories+1, 1,0))</f>
        <v>5</v>
      </c>
      <c r="R89" s="60">
        <f>IFERROR(INDEX(directors[Last],MAX(1,FLOOR((budgetMilestone3[row]-1)/(numCategories+3)+1,1))),1)</f>
        <v>0</v>
      </c>
    </row>
    <row r="90" spans="1:18" ht="15" customHeight="1" x14ac:dyDescent="0.25">
      <c r="A90" s="105" t="str">
        <f ca="1"/>
        <v>Other</v>
      </c>
      <c r="B90" s="105">
        <f ca="1"/>
        <v>0</v>
      </c>
      <c r="C90" s="105">
        <f ca="1"/>
        <v>0</v>
      </c>
      <c r="D90" s="105">
        <f ca="1"/>
        <v>0</v>
      </c>
      <c r="E90" s="105">
        <f ca="1"/>
        <v>0</v>
      </c>
      <c r="F90" s="105">
        <f ca="1"/>
        <v>0</v>
      </c>
      <c r="G90" s="105">
        <f ca="1"/>
        <v>0</v>
      </c>
      <c r="H90" s="60"/>
      <c r="I90"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Other</v>
      </c>
      <c r="J90" s="122">
        <f>budgetMilestone1[[#This Row],[Milestone 1]]</f>
        <v>0</v>
      </c>
      <c r="K90" s="122">
        <f>budgetMilestone2[[#This Row],[Milestone 2]]</f>
        <v>0</v>
      </c>
      <c r="L90" s="122">
        <f>SUMIFS(ARF[Amount in Euro], ARF[Co Director],budgetMilestone3[director], ARF[Category], budgetMilestone3[Category], ARF[Date], "&gt;" &amp; cleanDateMilestone2,ARF[Date], "&lt;=" &amp; cleanDateMilestone3)</f>
        <v>0</v>
      </c>
      <c r="M90" s="123">
        <f ca="1">'Milestone 3'!$E90</f>
        <v>0</v>
      </c>
      <c r="N90" s="123">
        <f ca="1">'Milestone 3'!$F90</f>
        <v>0</v>
      </c>
      <c r="O90" s="122">
        <f ca="1">SUM(budgetMilestone3[[#This Row],[Milestone 1]:[Final]])</f>
        <v>0</v>
      </c>
      <c r="P90" s="60">
        <f>ROW()-ROW(budgetMilestone3[#Headers])</f>
        <v>73</v>
      </c>
      <c r="Q90" s="60">
        <f>IF(budgetMilestone3[row] &lt;= numCategories +3, budgetMilestone3[row]-1, MOD(budgetMilestone3[row]-1,numCategories+3) + IF(MOD(budgetMilestone3[row]-2,numCategories+2)&gt;numCategories+1, 1,0))</f>
        <v>6</v>
      </c>
      <c r="R90" s="60">
        <f>IFERROR(INDEX(directors[Last],MAX(1,FLOOR((budgetMilestone3[row]-1)/(numCategories+3)+1,1))),1)</f>
        <v>0</v>
      </c>
    </row>
    <row r="91" spans="1:18" ht="15" customHeight="1" x14ac:dyDescent="0.25">
      <c r="A91" s="105" t="str">
        <f ca="1"/>
        <v>Stipends</v>
      </c>
      <c r="B91" s="105">
        <f ca="1"/>
        <v>0</v>
      </c>
      <c r="C91" s="105">
        <f ca="1"/>
        <v>0</v>
      </c>
      <c r="D91" s="105">
        <f ca="1"/>
        <v>0</v>
      </c>
      <c r="E91" s="105">
        <f ca="1"/>
        <v>0</v>
      </c>
      <c r="F91" s="105">
        <f ca="1"/>
        <v>0</v>
      </c>
      <c r="G91" s="105">
        <f ca="1"/>
        <v>0</v>
      </c>
      <c r="H91" s="60"/>
      <c r="I91"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Stipends</v>
      </c>
      <c r="J91" s="122">
        <f>budgetMilestone1[[#This Row],[Milestone 1]]</f>
        <v>0</v>
      </c>
      <c r="K91" s="122">
        <f>budgetMilestone2[[#This Row],[Milestone 2]]</f>
        <v>0</v>
      </c>
      <c r="L91" s="122">
        <f>SUMIFS(ARF[Amount in Euro], ARF[Co Director],budgetMilestone3[director], ARF[Category], budgetMilestone3[Category], ARF[Date], "&gt;" &amp; cleanDateMilestone2,ARF[Date], "&lt;=" &amp; cleanDateMilestone3)</f>
        <v>0</v>
      </c>
      <c r="M91" s="123">
        <f ca="1">'Milestone 3'!$E91</f>
        <v>0</v>
      </c>
      <c r="N91" s="123">
        <f ca="1">'Milestone 3'!$F91</f>
        <v>0</v>
      </c>
      <c r="O91" s="122">
        <f ca="1">SUM(budgetMilestone3[[#This Row],[Milestone 1]:[Final]])</f>
        <v>0</v>
      </c>
      <c r="P91" s="60">
        <f>ROW()-ROW(budgetMilestone3[#Headers])</f>
        <v>74</v>
      </c>
      <c r="Q91" s="60">
        <f>IF(budgetMilestone3[row] &lt;= numCategories +3, budgetMilestone3[row]-1, MOD(budgetMilestone3[row]-1,numCategories+3) + IF(MOD(budgetMilestone3[row]-2,numCategories+2)&gt;numCategories+1, 1,0))</f>
        <v>7</v>
      </c>
      <c r="R91" s="60">
        <f>IFERROR(INDEX(directors[Last],MAX(1,FLOOR((budgetMilestone3[row]-1)/(numCategories+3)+1,1))),1)</f>
        <v>0</v>
      </c>
    </row>
    <row r="92" spans="1:18" ht="15" customHeight="1" x14ac:dyDescent="0.25">
      <c r="A92" s="105" t="str">
        <f ca="1"/>
        <v>Co-financing of personnel</v>
      </c>
      <c r="B92" s="105">
        <f ca="1"/>
        <v>0</v>
      </c>
      <c r="C92" s="105">
        <f ca="1"/>
        <v>0</v>
      </c>
      <c r="D92" s="105">
        <f ca="1"/>
        <v>0</v>
      </c>
      <c r="E92" s="105">
        <f ca="1"/>
        <v>0</v>
      </c>
      <c r="F92" s="105">
        <f ca="1"/>
        <v>0</v>
      </c>
      <c r="G92" s="105">
        <f ca="1"/>
        <v>0</v>
      </c>
      <c r="H92" s="60"/>
      <c r="I92"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Co-financing of personnel</v>
      </c>
      <c r="J92" s="122">
        <f>budgetMilestone1[[#This Row],[Milestone 1]]</f>
        <v>0</v>
      </c>
      <c r="K92" s="122">
        <f>budgetMilestone2[[#This Row],[Milestone 2]]</f>
        <v>0</v>
      </c>
      <c r="L92" s="122">
        <f>SUMIFS(ARF[Amount in Euro], ARF[Co Director],budgetMilestone3[director], ARF[Category], budgetMilestone3[Category], ARF[Date], "&gt;" &amp; cleanDateMilestone2,ARF[Date], "&lt;=" &amp; cleanDateMilestone3)</f>
        <v>0</v>
      </c>
      <c r="M92" s="123">
        <f ca="1">'Milestone 3'!$E92</f>
        <v>0</v>
      </c>
      <c r="N92" s="123">
        <f ca="1">'Milestone 3'!$F92</f>
        <v>0</v>
      </c>
      <c r="O92" s="122">
        <f ca="1">SUM(budgetMilestone3[[#This Row],[Milestone 1]:[Final]])</f>
        <v>0</v>
      </c>
      <c r="P92" s="60">
        <f>ROW()-ROW(budgetMilestone3[#Headers])</f>
        <v>75</v>
      </c>
      <c r="Q92" s="60">
        <f>IF(budgetMilestone3[row] &lt;= numCategories +3, budgetMilestone3[row]-1, MOD(budgetMilestone3[row]-1,numCategories+3) + IF(MOD(budgetMilestone3[row]-2,numCategories+2)&gt;numCategories+1, 1,0))</f>
        <v>8</v>
      </c>
      <c r="R92" s="60">
        <f>IFERROR(INDEX(directors[Last],MAX(1,FLOOR((budgetMilestone3[row]-1)/(numCategories+3)+1,1))),1)</f>
        <v>0</v>
      </c>
    </row>
    <row r="93" spans="1:18" ht="15" customHeight="1" x14ac:dyDescent="0.25">
      <c r="A93" s="105" t="str">
        <f ca="1"/>
        <v>Subtotal 0</v>
      </c>
      <c r="B93" s="105">
        <f ca="1"/>
        <v>0</v>
      </c>
      <c r="C93" s="105">
        <f ca="1"/>
        <v>0</v>
      </c>
      <c r="D93" s="105">
        <f ca="1"/>
        <v>0</v>
      </c>
      <c r="E93" s="105">
        <f ca="1"/>
        <v>0</v>
      </c>
      <c r="F93" s="105">
        <f ca="1"/>
        <v>0</v>
      </c>
      <c r="G93" s="105">
        <f ca="1"/>
        <v>0</v>
      </c>
      <c r="H93" s="60"/>
      <c r="I93"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Subtotal 0</v>
      </c>
      <c r="J93" s="122">
        <f>budgetMilestone1[[#This Row],[Milestone 1]]</f>
        <v>0</v>
      </c>
      <c r="K93" s="122">
        <f>budgetMilestone2[[#This Row],[Milestone 2]]</f>
        <v>0</v>
      </c>
      <c r="L93" s="122">
        <f t="shared" ref="L93:O93" si="5">SUBTOTAL(9,L85:L92)</f>
        <v>0</v>
      </c>
      <c r="M93" s="122">
        <f t="shared" ca="1" si="5"/>
        <v>0</v>
      </c>
      <c r="N93" s="122">
        <f t="shared" ca="1" si="5"/>
        <v>0</v>
      </c>
      <c r="O93" s="122">
        <f t="shared" ca="1" si="5"/>
        <v>0</v>
      </c>
      <c r="P93" s="60">
        <f>ROW()-ROW(budgetMilestone3[#Headers])</f>
        <v>76</v>
      </c>
      <c r="Q93" s="60">
        <f>IF(budgetMilestone3[row] &lt;= numCategories +3, budgetMilestone3[row]-1, MOD(budgetMilestone3[row]-1,numCategories+3) + IF(MOD(budgetMilestone3[row]-2,numCategories+2)&gt;numCategories+1, 1,0))</f>
        <v>9</v>
      </c>
      <c r="R93" s="60">
        <f>IFERROR(INDEX(directors[Last],MAX(1,FLOOR((budgetMilestone3[row]-1)/(numCategories+3)+1,1))),1)</f>
        <v>0</v>
      </c>
    </row>
    <row r="94" spans="1:18" ht="15" customHeight="1" x14ac:dyDescent="0.25">
      <c r="A94" s="105" t="str">
        <f ca="1"/>
        <v/>
      </c>
      <c r="B94" s="105">
        <f ca="1"/>
        <v>0</v>
      </c>
      <c r="C94" s="105">
        <f ca="1"/>
        <v>0</v>
      </c>
      <c r="D94" s="105">
        <f ca="1"/>
        <v>0</v>
      </c>
      <c r="E94" s="105">
        <f ca="1"/>
        <v>0</v>
      </c>
      <c r="F94" s="105">
        <f ca="1"/>
        <v>0</v>
      </c>
      <c r="G94" s="105">
        <f ca="1"/>
        <v>0</v>
      </c>
      <c r="H94" s="60"/>
      <c r="I94"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c>
      <c r="J94" s="122">
        <f>budgetMilestone1[[#This Row],[Milestone 1]]</f>
        <v>0</v>
      </c>
      <c r="K94" s="122">
        <f>budgetMilestone2[[#This Row],[Milestone 2]]</f>
        <v>0</v>
      </c>
      <c r="L94" s="122">
        <f>SUMIFS(ARF[Amount in Euro], ARF[Co Director],budgetMilestone3[director], ARF[Category], budgetMilestone3[Category], ARF[Date], "&gt;" &amp; cleanDateMilestone2,ARF[Date], "&lt;=" &amp; cleanDateMilestone3)</f>
        <v>0</v>
      </c>
      <c r="M94" s="122"/>
      <c r="N94" s="122"/>
      <c r="O94" s="122">
        <f>SUM(budgetMilestone3[[#This Row],[Milestone 1]:[Final]])</f>
        <v>0</v>
      </c>
      <c r="P94" s="60">
        <f>ROW()-ROW(budgetMilestone3[#Headers])</f>
        <v>77</v>
      </c>
      <c r="Q94" s="60">
        <f>IF(budgetMilestone3[row] &lt;= numCategories +3, budgetMilestone3[row]-1, MOD(budgetMilestone3[row]-1,numCategories+3) + IF(MOD(budgetMilestone3[row]-2,numCategories+2)&gt;numCategories+1, 1,0))</f>
        <v>10</v>
      </c>
      <c r="R94" s="60">
        <f>IFERROR(INDEX(directors[Last],MAX(1,FLOOR((budgetMilestone3[row]-1)/(numCategories+3)+1,1))),1)</f>
        <v>0</v>
      </c>
    </row>
    <row r="95" spans="1:18" ht="15" customHeight="1" x14ac:dyDescent="0.25">
      <c r="A95" s="105" t="str">
        <f ca="1"/>
        <v xml:space="preserve">0 / </v>
      </c>
      <c r="B95" s="105">
        <f ca="1"/>
        <v>0</v>
      </c>
      <c r="C95" s="105">
        <f ca="1"/>
        <v>0</v>
      </c>
      <c r="D95" s="105">
        <f ca="1"/>
        <v>0</v>
      </c>
      <c r="E95" s="105">
        <f ca="1"/>
        <v>0</v>
      </c>
      <c r="F95" s="105">
        <f ca="1"/>
        <v>0</v>
      </c>
      <c r="G95" s="105">
        <f ca="1"/>
        <v>0</v>
      </c>
      <c r="H95" s="60"/>
      <c r="I95"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xml:space="preserve">0 / </v>
      </c>
      <c r="J95" s="122">
        <f>budgetMilestone1[[#This Row],[Milestone 1]]</f>
        <v>0</v>
      </c>
      <c r="K95" s="122">
        <f>budgetMilestone2[[#This Row],[Milestone 2]]</f>
        <v>0</v>
      </c>
      <c r="L95" s="122">
        <f>SUMIFS(ARF[Amount in Euro], ARF[Co Director],budgetMilestone3[director], ARF[Category], budgetMilestone3[Category], ARF[Date], "&gt;" &amp; cleanDateMilestone2,ARF[Date], "&lt;=" &amp; cleanDateMilestone3)</f>
        <v>0</v>
      </c>
      <c r="M95" s="122"/>
      <c r="N95" s="122"/>
      <c r="O95" s="122">
        <f>SUM(budgetMilestone3[[#This Row],[Milestone 1]:[Final]])</f>
        <v>0</v>
      </c>
      <c r="P95" s="60">
        <f>ROW()-ROW(budgetMilestone3[#Headers])</f>
        <v>78</v>
      </c>
      <c r="Q95" s="60">
        <f>IF(budgetMilestone3[row] &lt;= numCategories +3, budgetMilestone3[row]-1, MOD(budgetMilestone3[row]-1,numCategories+3) + IF(MOD(budgetMilestone3[row]-2,numCategories+2)&gt;numCategories+1, 1,0))</f>
        <v>0</v>
      </c>
      <c r="R95" s="60">
        <f>IFERROR(INDEX(directors[Last],MAX(1,FLOOR((budgetMilestone3[row]-1)/(numCategories+3)+1,1))),1)</f>
        <v>0</v>
      </c>
    </row>
    <row r="96" spans="1:18" ht="15" customHeight="1" x14ac:dyDescent="0.25">
      <c r="A96" s="105" t="str">
        <f ca="1"/>
        <v>Equipment</v>
      </c>
      <c r="B96" s="105">
        <f ca="1"/>
        <v>0</v>
      </c>
      <c r="C96" s="105">
        <f ca="1"/>
        <v>0</v>
      </c>
      <c r="D96" s="105">
        <f ca="1"/>
        <v>0</v>
      </c>
      <c r="E96" s="105">
        <f ca="1"/>
        <v>0</v>
      </c>
      <c r="F96" s="105">
        <f ca="1"/>
        <v>0</v>
      </c>
      <c r="G96" s="105">
        <f ca="1"/>
        <v>0</v>
      </c>
      <c r="H96" s="60"/>
      <c r="I96"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Equipment</v>
      </c>
      <c r="J96" s="122">
        <f>budgetMilestone1[[#This Row],[Milestone 1]]</f>
        <v>0</v>
      </c>
      <c r="K96" s="122">
        <f>budgetMilestone2[[#This Row],[Milestone 2]]</f>
        <v>0</v>
      </c>
      <c r="L96" s="122">
        <f>SUMIFS(ARF[Amount in Euro], ARF[Co Director],budgetMilestone3[director], ARF[Category], budgetMilestone3[Category], ARF[Date], "&gt;" &amp; cleanDateMilestone2,ARF[Date], "&lt;=" &amp; cleanDateMilestone3)</f>
        <v>0</v>
      </c>
      <c r="M96" s="123">
        <f ca="1">'Milestone 3'!$E96</f>
        <v>0</v>
      </c>
      <c r="N96" s="123">
        <f ca="1">'Milestone 3'!$F96</f>
        <v>0</v>
      </c>
      <c r="O96" s="122">
        <f ca="1">SUM(budgetMilestone3[[#This Row],[Milestone 1]:[Final]])</f>
        <v>0</v>
      </c>
      <c r="P96" s="60">
        <f>ROW()-ROW(budgetMilestone3[#Headers])</f>
        <v>79</v>
      </c>
      <c r="Q96" s="60">
        <f>IF(budgetMilestone3[row] &lt;= numCategories +3, budgetMilestone3[row]-1, MOD(budgetMilestone3[row]-1,numCategories+3) + IF(MOD(budgetMilestone3[row]-2,numCategories+2)&gt;numCategories+1, 1,0))</f>
        <v>1</v>
      </c>
      <c r="R96" s="60">
        <f>IFERROR(INDEX(directors[Last],MAX(1,FLOOR((budgetMilestone3[row]-1)/(numCategories+3)+1,1))),1)</f>
        <v>0</v>
      </c>
    </row>
    <row r="97" spans="1:18" ht="15" customHeight="1" x14ac:dyDescent="0.25">
      <c r="A97" s="105" t="str">
        <f ca="1"/>
        <v>Training</v>
      </c>
      <c r="B97" s="105">
        <f ca="1"/>
        <v>0</v>
      </c>
      <c r="C97" s="105">
        <f ca="1"/>
        <v>0</v>
      </c>
      <c r="D97" s="105">
        <f ca="1"/>
        <v>0</v>
      </c>
      <c r="E97" s="105">
        <f ca="1"/>
        <v>0</v>
      </c>
      <c r="F97" s="105">
        <f ca="1"/>
        <v>0</v>
      </c>
      <c r="G97" s="105">
        <f ca="1"/>
        <v>0</v>
      </c>
      <c r="H97" s="60"/>
      <c r="I97"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Training</v>
      </c>
      <c r="J97" s="122">
        <f>budgetMilestone1[[#This Row],[Milestone 1]]</f>
        <v>0</v>
      </c>
      <c r="K97" s="122">
        <f>budgetMilestone2[[#This Row],[Milestone 2]]</f>
        <v>0</v>
      </c>
      <c r="L97" s="122">
        <f>SUMIFS(ARF[Amount in Euro], ARF[Co Director],budgetMilestone3[director], ARF[Category], budgetMilestone3[Category], ARF[Date], "&gt;" &amp; cleanDateMilestone2,ARF[Date], "&lt;=" &amp; cleanDateMilestone3)</f>
        <v>0</v>
      </c>
      <c r="M97" s="123">
        <f ca="1">'Milestone 3'!$E97</f>
        <v>0</v>
      </c>
      <c r="N97" s="123">
        <f ca="1">'Milestone 3'!$F97</f>
        <v>0</v>
      </c>
      <c r="O97" s="122">
        <f ca="1">SUM(budgetMilestone3[[#This Row],[Milestone 1]:[Final]])</f>
        <v>0</v>
      </c>
      <c r="P97" s="60">
        <f>ROW()-ROW(budgetMilestone3[#Headers])</f>
        <v>80</v>
      </c>
      <c r="Q97" s="60">
        <f>IF(budgetMilestone3[row] &lt;= numCategories +3, budgetMilestone3[row]-1, MOD(budgetMilestone3[row]-1,numCategories+3) + IF(MOD(budgetMilestone3[row]-2,numCategories+2)&gt;numCategories+1, 1,0))</f>
        <v>2</v>
      </c>
      <c r="R97" s="60">
        <f>IFERROR(INDEX(directors[Last],MAX(1,FLOOR((budgetMilestone3[row]-1)/(numCategories+3)+1,1))),1)</f>
        <v>0</v>
      </c>
    </row>
    <row r="98" spans="1:18" ht="15" customHeight="1" x14ac:dyDescent="0.25">
      <c r="A98" s="105" t="str">
        <f ca="1"/>
        <v>Communication &amp; Publication</v>
      </c>
      <c r="B98" s="105">
        <f ca="1"/>
        <v>0</v>
      </c>
      <c r="C98" s="105">
        <f ca="1"/>
        <v>0</v>
      </c>
      <c r="D98" s="105">
        <f ca="1"/>
        <v>0</v>
      </c>
      <c r="E98" s="105">
        <f ca="1"/>
        <v>0</v>
      </c>
      <c r="F98" s="105">
        <f ca="1"/>
        <v>0</v>
      </c>
      <c r="G98" s="105">
        <f ca="1"/>
        <v>0</v>
      </c>
      <c r="H98" s="60"/>
      <c r="I98"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Communication &amp; Publication</v>
      </c>
      <c r="J98" s="122">
        <f>budgetMilestone1[[#This Row],[Milestone 1]]</f>
        <v>0</v>
      </c>
      <c r="K98" s="122">
        <f>budgetMilestone2[[#This Row],[Milestone 2]]</f>
        <v>0</v>
      </c>
      <c r="L98" s="122">
        <f>SUMIFS(ARF[Amount in Euro], ARF[Co Director],budgetMilestone3[director], ARF[Category], budgetMilestone3[Category], ARF[Date], "&gt;" &amp; cleanDateMilestone2,ARF[Date], "&lt;=" &amp; cleanDateMilestone3)</f>
        <v>0</v>
      </c>
      <c r="M98" s="123">
        <f ca="1">'Milestone 3'!$E98</f>
        <v>0</v>
      </c>
      <c r="N98" s="123">
        <f ca="1">'Milestone 3'!$F98</f>
        <v>0</v>
      </c>
      <c r="O98" s="122">
        <f ca="1">SUM(budgetMilestone3[[#This Row],[Milestone 1]:[Final]])</f>
        <v>0</v>
      </c>
      <c r="P98" s="61">
        <f>ROW()-ROW(budgetMilestone3[#Headers])</f>
        <v>81</v>
      </c>
      <c r="Q98" s="61">
        <f>IF(budgetMilestone3[row] &lt;= numCategories +3, budgetMilestone3[row]-1, MOD(budgetMilestone3[row]-1,numCategories+3) + IF(MOD(budgetMilestone3[row]-2,numCategories+2)&gt;numCategories+1, 1,0))</f>
        <v>3</v>
      </c>
      <c r="R98" s="60">
        <f>IFERROR(INDEX(directors[Last],MAX(1,FLOOR((budgetMilestone3[row]-1)/(numCategories+3)+1,1))),1)</f>
        <v>0</v>
      </c>
    </row>
    <row r="99" spans="1:18" ht="15" customHeight="1" x14ac:dyDescent="0.25">
      <c r="A99" s="105" t="str">
        <f ca="1"/>
        <v>Travel</v>
      </c>
      <c r="B99" s="105">
        <f ca="1"/>
        <v>0</v>
      </c>
      <c r="C99" s="105">
        <f ca="1"/>
        <v>0</v>
      </c>
      <c r="D99" s="105">
        <f ca="1"/>
        <v>0</v>
      </c>
      <c r="E99" s="105">
        <f ca="1"/>
        <v>0</v>
      </c>
      <c r="F99" s="105">
        <f ca="1"/>
        <v>0</v>
      </c>
      <c r="G99" s="105">
        <f ca="1"/>
        <v>0</v>
      </c>
      <c r="H99" s="60"/>
      <c r="I99"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Travel</v>
      </c>
      <c r="J99" s="122">
        <f>budgetMilestone1[[#This Row],[Milestone 1]]</f>
        <v>0</v>
      </c>
      <c r="K99" s="122">
        <f>budgetMilestone2[[#This Row],[Milestone 2]]</f>
        <v>0</v>
      </c>
      <c r="L99" s="122">
        <f>SUMIFS(ARF[Amount in Euro], ARF[Co Director],budgetMilestone3[director], ARF[Category], budgetMilestone3[Category], ARF[Date], "&gt;" &amp; cleanDateMilestone2,ARF[Date], "&lt;=" &amp; cleanDateMilestone3)</f>
        <v>0</v>
      </c>
      <c r="M99" s="123">
        <f ca="1">'Milestone 3'!$E99</f>
        <v>0</v>
      </c>
      <c r="N99" s="123">
        <f ca="1">'Milestone 3'!$F99</f>
        <v>0</v>
      </c>
      <c r="O99" s="122">
        <f ca="1">SUM(budgetMilestone3[[#This Row],[Milestone 1]:[Final]])</f>
        <v>0</v>
      </c>
      <c r="P99" s="60">
        <f>ROW()-ROW(budgetMilestone3[#Headers])</f>
        <v>82</v>
      </c>
      <c r="Q99" s="60">
        <f>IF(budgetMilestone3[row] &lt;= numCategories +3, budgetMilestone3[row]-1, MOD(budgetMilestone3[row]-1,numCategories+3) + IF(MOD(budgetMilestone3[row]-2,numCategories+2)&gt;numCategories+1, 1,0))</f>
        <v>4</v>
      </c>
      <c r="R99" s="60">
        <f>IFERROR(INDEX(directors[Last],MAX(1,FLOOR((budgetMilestone3[row]-1)/(numCategories+3)+1,1))),1)</f>
        <v>0</v>
      </c>
    </row>
    <row r="100" spans="1:18" ht="15" customHeight="1" x14ac:dyDescent="0.25">
      <c r="A100" s="105" t="str">
        <f ca="1"/>
        <v>Consumables</v>
      </c>
      <c r="B100" s="105">
        <f ca="1"/>
        <v>0</v>
      </c>
      <c r="C100" s="105">
        <f ca="1"/>
        <v>0</v>
      </c>
      <c r="D100" s="105">
        <f ca="1"/>
        <v>0</v>
      </c>
      <c r="E100" s="105">
        <f ca="1"/>
        <v>0</v>
      </c>
      <c r="F100" s="105">
        <f ca="1"/>
        <v>0</v>
      </c>
      <c r="G100" s="105">
        <f ca="1"/>
        <v>0</v>
      </c>
      <c r="H100" s="60"/>
      <c r="I100"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Consumables</v>
      </c>
      <c r="J100" s="122">
        <f>budgetMilestone1[[#This Row],[Milestone 1]]</f>
        <v>0</v>
      </c>
      <c r="K100" s="122">
        <f>budgetMilestone2[[#This Row],[Milestone 2]]</f>
        <v>0</v>
      </c>
      <c r="L100" s="122">
        <f>SUMIFS(ARF[Amount in Euro], ARF[Co Director],budgetMilestone3[director], ARF[Category], budgetMilestone3[Category], ARF[Date], "&gt;" &amp; cleanDateMilestone2,ARF[Date], "&lt;=" &amp; cleanDateMilestone3)</f>
        <v>0</v>
      </c>
      <c r="M100" s="123">
        <f ca="1">'Milestone 3'!$E100</f>
        <v>0</v>
      </c>
      <c r="N100" s="123">
        <f ca="1">'Milestone 3'!$F100</f>
        <v>0</v>
      </c>
      <c r="O100" s="122">
        <f ca="1">SUM(budgetMilestone3[[#This Row],[Milestone 1]:[Final]])</f>
        <v>0</v>
      </c>
      <c r="P100" s="60">
        <f>ROW()-ROW(budgetMilestone3[#Headers])</f>
        <v>83</v>
      </c>
      <c r="Q100" s="60">
        <f>IF(budgetMilestone3[row] &lt;= numCategories +3, budgetMilestone3[row]-1, MOD(budgetMilestone3[row]-1,numCategories+3) + IF(MOD(budgetMilestone3[row]-2,numCategories+2)&gt;numCategories+1, 1,0))</f>
        <v>5</v>
      </c>
      <c r="R100" s="60">
        <f>IFERROR(INDEX(directors[Last],MAX(1,FLOOR((budgetMilestone3[row]-1)/(numCategories+3)+1,1))),1)</f>
        <v>0</v>
      </c>
    </row>
    <row r="101" spans="1:18" ht="15" customHeight="1" x14ac:dyDescent="0.25">
      <c r="A101" s="105" t="str">
        <f ca="1"/>
        <v>Other</v>
      </c>
      <c r="B101" s="105">
        <f ca="1"/>
        <v>0</v>
      </c>
      <c r="C101" s="105">
        <f ca="1"/>
        <v>0</v>
      </c>
      <c r="D101" s="105">
        <f ca="1"/>
        <v>0</v>
      </c>
      <c r="E101" s="105">
        <f ca="1"/>
        <v>0</v>
      </c>
      <c r="F101" s="105">
        <f ca="1"/>
        <v>0</v>
      </c>
      <c r="G101" s="105">
        <f ca="1"/>
        <v>0</v>
      </c>
      <c r="H101" s="60"/>
      <c r="I101"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Other</v>
      </c>
      <c r="J101" s="122">
        <f>budgetMilestone1[[#This Row],[Milestone 1]]</f>
        <v>0</v>
      </c>
      <c r="K101" s="122">
        <f>budgetMilestone2[[#This Row],[Milestone 2]]</f>
        <v>0</v>
      </c>
      <c r="L101" s="122">
        <f>SUMIFS(ARF[Amount in Euro], ARF[Co Director],budgetMilestone3[director], ARF[Category], budgetMilestone3[Category], ARF[Date], "&gt;" &amp; cleanDateMilestone2,ARF[Date], "&lt;=" &amp; cleanDateMilestone3)</f>
        <v>0</v>
      </c>
      <c r="M101" s="123">
        <f ca="1">'Milestone 3'!$E101</f>
        <v>0</v>
      </c>
      <c r="N101" s="123">
        <f ca="1">'Milestone 3'!$F101</f>
        <v>0</v>
      </c>
      <c r="O101" s="122">
        <f ca="1">SUM(budgetMilestone3[[#This Row],[Milestone 1]:[Final]])</f>
        <v>0</v>
      </c>
      <c r="P101" s="60">
        <f>ROW()-ROW(budgetMilestone3[#Headers])</f>
        <v>84</v>
      </c>
      <c r="Q101" s="60">
        <f>IF(budgetMilestone3[row] &lt;= numCategories +3, budgetMilestone3[row]-1, MOD(budgetMilestone3[row]-1,numCategories+3) + IF(MOD(budgetMilestone3[row]-2,numCategories+2)&gt;numCategories+1, 1,0))</f>
        <v>6</v>
      </c>
      <c r="R101" s="60">
        <f>IFERROR(INDEX(directors[Last],MAX(1,FLOOR((budgetMilestone3[row]-1)/(numCategories+3)+1,1))),1)</f>
        <v>0</v>
      </c>
    </row>
    <row r="102" spans="1:18" ht="15" customHeight="1" x14ac:dyDescent="0.25">
      <c r="A102" s="105" t="str">
        <f ca="1"/>
        <v>Stipends</v>
      </c>
      <c r="B102" s="105">
        <f ca="1"/>
        <v>0</v>
      </c>
      <c r="C102" s="105">
        <f ca="1"/>
        <v>0</v>
      </c>
      <c r="D102" s="105">
        <f ca="1"/>
        <v>0</v>
      </c>
      <c r="E102" s="105">
        <f ca="1"/>
        <v>0</v>
      </c>
      <c r="F102" s="105">
        <f ca="1"/>
        <v>0</v>
      </c>
      <c r="G102" s="105">
        <f ca="1"/>
        <v>0</v>
      </c>
      <c r="H102" s="60"/>
      <c r="I102"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Stipends</v>
      </c>
      <c r="J102" s="122">
        <f>budgetMilestone1[[#This Row],[Milestone 1]]</f>
        <v>0</v>
      </c>
      <c r="K102" s="122">
        <f>budgetMilestone2[[#This Row],[Milestone 2]]</f>
        <v>0</v>
      </c>
      <c r="L102" s="122">
        <f>SUMIFS(ARF[Amount in Euro], ARF[Co Director],budgetMilestone3[director], ARF[Category], budgetMilestone3[Category], ARF[Date], "&gt;" &amp; cleanDateMilestone2,ARF[Date], "&lt;=" &amp; cleanDateMilestone3)</f>
        <v>0</v>
      </c>
      <c r="M102" s="123">
        <f ca="1">'Milestone 3'!$E102</f>
        <v>0</v>
      </c>
      <c r="N102" s="123">
        <f ca="1">'Milestone 3'!$F102</f>
        <v>0</v>
      </c>
      <c r="O102" s="122">
        <f ca="1">SUM(budgetMilestone3[[#This Row],[Milestone 1]:[Final]])</f>
        <v>0</v>
      </c>
      <c r="P102" s="60">
        <f>ROW()-ROW(budgetMilestone3[#Headers])</f>
        <v>85</v>
      </c>
      <c r="Q102" s="60">
        <f>IF(budgetMilestone3[row] &lt;= numCategories +3, budgetMilestone3[row]-1, MOD(budgetMilestone3[row]-1,numCategories+3) + IF(MOD(budgetMilestone3[row]-2,numCategories+2)&gt;numCategories+1, 1,0))</f>
        <v>7</v>
      </c>
      <c r="R102" s="60">
        <f>IFERROR(INDEX(directors[Last],MAX(1,FLOOR((budgetMilestone3[row]-1)/(numCategories+3)+1,1))),1)</f>
        <v>0</v>
      </c>
    </row>
    <row r="103" spans="1:18" ht="15" customHeight="1" x14ac:dyDescent="0.25">
      <c r="A103" s="105" t="str">
        <f ca="1"/>
        <v>Co-financing of personnel</v>
      </c>
      <c r="B103" s="105">
        <f ca="1"/>
        <v>0</v>
      </c>
      <c r="C103" s="105">
        <f ca="1"/>
        <v>0</v>
      </c>
      <c r="D103" s="105">
        <f ca="1"/>
        <v>0</v>
      </c>
      <c r="E103" s="105">
        <f ca="1"/>
        <v>0</v>
      </c>
      <c r="F103" s="105">
        <f ca="1"/>
        <v>0</v>
      </c>
      <c r="G103" s="105">
        <f ca="1"/>
        <v>0</v>
      </c>
      <c r="H103" s="60"/>
      <c r="I103"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Co-financing of personnel</v>
      </c>
      <c r="J103" s="122">
        <f>budgetMilestone1[[#This Row],[Milestone 1]]</f>
        <v>0</v>
      </c>
      <c r="K103" s="122">
        <f>budgetMilestone2[[#This Row],[Milestone 2]]</f>
        <v>0</v>
      </c>
      <c r="L103" s="122">
        <f>SUMIFS(ARF[Amount in Euro], ARF[Co Director],budgetMilestone3[director], ARF[Category], budgetMilestone3[Category], ARF[Date], "&gt;" &amp; cleanDateMilestone2,ARF[Date], "&lt;=" &amp; cleanDateMilestone3)</f>
        <v>0</v>
      </c>
      <c r="M103" s="123">
        <f ca="1">'Milestone 3'!$E103</f>
        <v>0</v>
      </c>
      <c r="N103" s="123">
        <f ca="1">'Milestone 3'!$F103</f>
        <v>0</v>
      </c>
      <c r="O103" s="122">
        <f ca="1">SUM(budgetMilestone3[[#This Row],[Milestone 1]:[Final]])</f>
        <v>0</v>
      </c>
      <c r="P103" s="60">
        <f>ROW()-ROW(budgetMilestone3[#Headers])</f>
        <v>86</v>
      </c>
      <c r="Q103" s="60">
        <f>IF(budgetMilestone3[row] &lt;= numCategories +3, budgetMilestone3[row]-1, MOD(budgetMilestone3[row]-1,numCategories+3) + IF(MOD(budgetMilestone3[row]-2,numCategories+2)&gt;numCategories+1, 1,0))</f>
        <v>8</v>
      </c>
      <c r="R103" s="60">
        <f>IFERROR(INDEX(directors[Last],MAX(1,FLOOR((budgetMilestone3[row]-1)/(numCategories+3)+1,1))),1)</f>
        <v>0</v>
      </c>
    </row>
    <row r="104" spans="1:18" ht="15" customHeight="1" x14ac:dyDescent="0.25">
      <c r="A104" s="105" t="str">
        <f ca="1"/>
        <v>Subtotal 0</v>
      </c>
      <c r="B104" s="105">
        <f ca="1"/>
        <v>0</v>
      </c>
      <c r="C104" s="105">
        <f ca="1"/>
        <v>0</v>
      </c>
      <c r="D104" s="105">
        <f ca="1"/>
        <v>0</v>
      </c>
      <c r="E104" s="105">
        <f ca="1"/>
        <v>0</v>
      </c>
      <c r="F104" s="105">
        <f ca="1"/>
        <v>0</v>
      </c>
      <c r="G104" s="105">
        <f ca="1"/>
        <v>0</v>
      </c>
      <c r="H104" s="60"/>
      <c r="I104"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Subtotal 0</v>
      </c>
      <c r="J104" s="122">
        <f>budgetMilestone1[[#This Row],[Milestone 1]]</f>
        <v>0</v>
      </c>
      <c r="K104" s="122">
        <f>budgetMilestone2[[#This Row],[Milestone 2]]</f>
        <v>0</v>
      </c>
      <c r="L104" s="122">
        <f t="shared" ref="L104:O104" si="6">SUBTOTAL(9,L96:L103)</f>
        <v>0</v>
      </c>
      <c r="M104" s="122">
        <f t="shared" ca="1" si="6"/>
        <v>0</v>
      </c>
      <c r="N104" s="122">
        <f t="shared" ca="1" si="6"/>
        <v>0</v>
      </c>
      <c r="O104" s="122">
        <f t="shared" ca="1" si="6"/>
        <v>0</v>
      </c>
      <c r="P104" s="61">
        <f>ROW()-ROW(budgetMilestone3[#Headers])</f>
        <v>87</v>
      </c>
      <c r="Q104" s="61">
        <f>IF(budgetMilestone3[row] &lt;= numCategories +3, budgetMilestone3[row]-1, MOD(budgetMilestone3[row]-1,numCategories+3) + IF(MOD(budgetMilestone3[row]-2,numCategories+2)&gt;numCategories+1, 1,0))</f>
        <v>9</v>
      </c>
      <c r="R104" s="60">
        <f>IFERROR(INDEX(directors[Last],MAX(1,FLOOR((budgetMilestone3[row]-1)/(numCategories+3)+1,1))),1)</f>
        <v>0</v>
      </c>
    </row>
    <row r="105" spans="1:18" ht="15" customHeight="1" x14ac:dyDescent="0.25">
      <c r="A105" s="105" t="str">
        <f ca="1"/>
        <v/>
      </c>
      <c r="B105" s="105">
        <f ca="1"/>
        <v>0</v>
      </c>
      <c r="C105" s="105">
        <f ca="1"/>
        <v>0</v>
      </c>
      <c r="D105" s="105">
        <f ca="1"/>
        <v>0</v>
      </c>
      <c r="E105" s="105">
        <f ca="1"/>
        <v>0</v>
      </c>
      <c r="F105" s="105">
        <f ca="1"/>
        <v>0</v>
      </c>
      <c r="G105" s="105">
        <f ca="1"/>
        <v>0</v>
      </c>
      <c r="H105" s="60"/>
      <c r="I105"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c>
      <c r="J105" s="122">
        <f>budgetMilestone1[[#This Row],[Milestone 1]]</f>
        <v>0</v>
      </c>
      <c r="K105" s="122">
        <f>budgetMilestone2[[#This Row],[Milestone 2]]</f>
        <v>0</v>
      </c>
      <c r="L105" s="122">
        <f>SUMIFS(ARF[Amount in Euro], ARF[Co Director],budgetMilestone3[director], ARF[Category], budgetMilestone3[Category], ARF[Date], "&gt;" &amp; cleanDateMilestone2,ARF[Date], "&lt;=" &amp; cleanDateMilestone3)</f>
        <v>0</v>
      </c>
      <c r="M105" s="122"/>
      <c r="N105" s="122"/>
      <c r="O105" s="122">
        <f>SUM(budgetMilestone3[[#This Row],[Milestone 1]:[Final]])</f>
        <v>0</v>
      </c>
      <c r="P105" s="60">
        <f>ROW()-ROW(budgetMilestone3[#Headers])</f>
        <v>88</v>
      </c>
      <c r="Q105" s="60">
        <f>IF(budgetMilestone3[row] &lt;= numCategories +3, budgetMilestone3[row]-1, MOD(budgetMilestone3[row]-1,numCategories+3) + IF(MOD(budgetMilestone3[row]-2,numCategories+2)&gt;numCategories+1, 1,0))</f>
        <v>10</v>
      </c>
      <c r="R105" s="60">
        <f>IFERROR(INDEX(directors[Last],MAX(1,FLOOR((budgetMilestone3[row]-1)/(numCategories+3)+1,1))),1)</f>
        <v>0</v>
      </c>
    </row>
    <row r="106" spans="1:18" ht="15" customHeight="1" x14ac:dyDescent="0.25">
      <c r="A106" s="105" t="str">
        <f ca="1"/>
        <v xml:space="preserve">0 / </v>
      </c>
      <c r="B106" s="105">
        <f ca="1"/>
        <v>0</v>
      </c>
      <c r="C106" s="105">
        <f ca="1"/>
        <v>0</v>
      </c>
      <c r="D106" s="105">
        <f ca="1"/>
        <v>0</v>
      </c>
      <c r="E106" s="105">
        <f ca="1"/>
        <v>0</v>
      </c>
      <c r="F106" s="105">
        <f ca="1"/>
        <v>0</v>
      </c>
      <c r="G106" s="105">
        <f ca="1"/>
        <v>0</v>
      </c>
      <c r="H106" s="60"/>
      <c r="I106"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xml:space="preserve">0 / </v>
      </c>
      <c r="J106" s="122">
        <f>budgetMilestone1[[#This Row],[Milestone 1]]</f>
        <v>0</v>
      </c>
      <c r="K106" s="122">
        <f>budgetMilestone2[[#This Row],[Milestone 2]]</f>
        <v>0</v>
      </c>
      <c r="L106" s="122">
        <f>SUMIFS(ARF[Amount in Euro], ARF[Co Director],budgetMilestone3[director], ARF[Category], budgetMilestone3[Category], ARF[Date], "&gt;" &amp; cleanDateMilestone2,ARF[Date], "&lt;=" &amp; cleanDateMilestone3)</f>
        <v>0</v>
      </c>
      <c r="M106" s="122"/>
      <c r="N106" s="122"/>
      <c r="O106" s="122">
        <f>SUM(budgetMilestone3[[#This Row],[Milestone 1]:[Final]])</f>
        <v>0</v>
      </c>
      <c r="P106" s="60">
        <f>ROW()-ROW(budgetMilestone3[#Headers])</f>
        <v>89</v>
      </c>
      <c r="Q106" s="60">
        <f>IF(budgetMilestone3[row] &lt;= numCategories +3, budgetMilestone3[row]-1, MOD(budgetMilestone3[row]-1,numCategories+3) + IF(MOD(budgetMilestone3[row]-2,numCategories+2)&gt;numCategories+1, 1,0))</f>
        <v>0</v>
      </c>
      <c r="R106" s="60">
        <f>IFERROR(INDEX(directors[Last],MAX(1,FLOOR((budgetMilestone3[row]-1)/(numCategories+3)+1,1))),1)</f>
        <v>0</v>
      </c>
    </row>
    <row r="107" spans="1:18" ht="15" customHeight="1" x14ac:dyDescent="0.25">
      <c r="A107" s="105" t="str">
        <f ca="1"/>
        <v>Equipment</v>
      </c>
      <c r="B107" s="105">
        <f ca="1"/>
        <v>0</v>
      </c>
      <c r="C107" s="105">
        <f ca="1"/>
        <v>0</v>
      </c>
      <c r="D107" s="105">
        <f ca="1"/>
        <v>0</v>
      </c>
      <c r="E107" s="105">
        <f ca="1"/>
        <v>0</v>
      </c>
      <c r="F107" s="105">
        <f ca="1"/>
        <v>0</v>
      </c>
      <c r="G107" s="105">
        <f ca="1"/>
        <v>0</v>
      </c>
      <c r="H107" s="60"/>
      <c r="I107"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Equipment</v>
      </c>
      <c r="J107" s="122">
        <f>budgetMilestone1[[#This Row],[Milestone 1]]</f>
        <v>0</v>
      </c>
      <c r="K107" s="122">
        <f>budgetMilestone2[[#This Row],[Milestone 2]]</f>
        <v>0</v>
      </c>
      <c r="L107" s="122">
        <f>SUMIFS(ARF[Amount in Euro], ARF[Co Director],budgetMilestone3[director], ARF[Category], budgetMilestone3[Category], ARF[Date], "&gt;" &amp; cleanDateMilestone2,ARF[Date], "&lt;=" &amp; cleanDateMilestone3)</f>
        <v>0</v>
      </c>
      <c r="M107" s="123">
        <f ca="1">'Milestone 3'!$E107</f>
        <v>0</v>
      </c>
      <c r="N107" s="123">
        <f ca="1">'Milestone 3'!$F107</f>
        <v>0</v>
      </c>
      <c r="O107" s="122">
        <f ca="1">SUM(budgetMilestone3[[#This Row],[Milestone 1]:[Final]])</f>
        <v>0</v>
      </c>
      <c r="P107" s="61">
        <f>ROW()-ROW(budgetMilestone3[#Headers])</f>
        <v>90</v>
      </c>
      <c r="Q107" s="61">
        <f>IF(budgetMilestone3[row] &lt;= numCategories +3, budgetMilestone3[row]-1, MOD(budgetMilestone3[row]-1,numCategories+3) + IF(MOD(budgetMilestone3[row]-2,numCategories+2)&gt;numCategories+1, 1,0))</f>
        <v>1</v>
      </c>
      <c r="R107" s="60">
        <f>IFERROR(INDEX(directors[Last],MAX(1,FLOOR((budgetMilestone3[row]-1)/(numCategories+3)+1,1))),1)</f>
        <v>0</v>
      </c>
    </row>
    <row r="108" spans="1:18" ht="15" customHeight="1" x14ac:dyDescent="0.25">
      <c r="A108" s="105" t="str">
        <f ca="1"/>
        <v>Training</v>
      </c>
      <c r="B108" s="105">
        <f ca="1"/>
        <v>0</v>
      </c>
      <c r="C108" s="105">
        <f ca="1"/>
        <v>0</v>
      </c>
      <c r="D108" s="105">
        <f ca="1"/>
        <v>0</v>
      </c>
      <c r="E108" s="105">
        <f ca="1"/>
        <v>0</v>
      </c>
      <c r="F108" s="105">
        <f ca="1"/>
        <v>0</v>
      </c>
      <c r="G108" s="105">
        <f ca="1"/>
        <v>0</v>
      </c>
      <c r="H108" s="60"/>
      <c r="I108"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Training</v>
      </c>
      <c r="J108" s="122">
        <f>budgetMilestone1[[#This Row],[Milestone 1]]</f>
        <v>0</v>
      </c>
      <c r="K108" s="122">
        <f>budgetMilestone2[[#This Row],[Milestone 2]]</f>
        <v>0</v>
      </c>
      <c r="L108" s="122">
        <f>SUMIFS(ARF[Amount in Euro], ARF[Co Director],budgetMilestone3[director], ARF[Category], budgetMilestone3[Category], ARF[Date], "&gt;" &amp; cleanDateMilestone2,ARF[Date], "&lt;=" &amp; cleanDateMilestone3)</f>
        <v>0</v>
      </c>
      <c r="M108" s="123">
        <f ca="1">'Milestone 3'!$E108</f>
        <v>0</v>
      </c>
      <c r="N108" s="123">
        <f ca="1">'Milestone 3'!$F108</f>
        <v>0</v>
      </c>
      <c r="O108" s="122">
        <f ca="1">SUM(budgetMilestone3[[#This Row],[Milestone 1]:[Final]])</f>
        <v>0</v>
      </c>
      <c r="P108" s="60">
        <f>ROW()-ROW(budgetMilestone3[#Headers])</f>
        <v>91</v>
      </c>
      <c r="Q108" s="60">
        <f>IF(budgetMilestone3[row] &lt;= numCategories +3, budgetMilestone3[row]-1, MOD(budgetMilestone3[row]-1,numCategories+3) + IF(MOD(budgetMilestone3[row]-2,numCategories+2)&gt;numCategories+1, 1,0))</f>
        <v>2</v>
      </c>
      <c r="R108" s="60">
        <f>IFERROR(INDEX(directors[Last],MAX(1,FLOOR((budgetMilestone3[row]-1)/(numCategories+3)+1,1))),1)</f>
        <v>0</v>
      </c>
    </row>
    <row r="109" spans="1:18" ht="15" customHeight="1" x14ac:dyDescent="0.25">
      <c r="A109" s="105" t="str">
        <f ca="1"/>
        <v>Communication &amp; Publication</v>
      </c>
      <c r="B109" s="105">
        <f ca="1"/>
        <v>0</v>
      </c>
      <c r="C109" s="105">
        <f ca="1"/>
        <v>0</v>
      </c>
      <c r="D109" s="105">
        <f ca="1"/>
        <v>0</v>
      </c>
      <c r="E109" s="105">
        <f ca="1"/>
        <v>0</v>
      </c>
      <c r="F109" s="105">
        <f ca="1"/>
        <v>0</v>
      </c>
      <c r="G109" s="105">
        <f ca="1"/>
        <v>0</v>
      </c>
      <c r="H109" s="60"/>
      <c r="I109"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Communication &amp; Publication</v>
      </c>
      <c r="J109" s="122">
        <f>budgetMilestone1[[#This Row],[Milestone 1]]</f>
        <v>0</v>
      </c>
      <c r="K109" s="122">
        <f>budgetMilestone2[[#This Row],[Milestone 2]]</f>
        <v>0</v>
      </c>
      <c r="L109" s="122">
        <f>SUMIFS(ARF[Amount in Euro], ARF[Co Director],budgetMilestone3[director], ARF[Category], budgetMilestone3[Category], ARF[Date], "&gt;" &amp; cleanDateMilestone2,ARF[Date], "&lt;=" &amp; cleanDateMilestone3)</f>
        <v>0</v>
      </c>
      <c r="M109" s="123">
        <f ca="1">'Milestone 3'!$E109</f>
        <v>0</v>
      </c>
      <c r="N109" s="123">
        <f ca="1">'Milestone 3'!$F109</f>
        <v>0</v>
      </c>
      <c r="O109" s="122">
        <f ca="1">SUM(budgetMilestone3[[#This Row],[Milestone 1]:[Final]])</f>
        <v>0</v>
      </c>
      <c r="P109" s="61">
        <f>ROW()-ROW(budgetMilestone3[#Headers])</f>
        <v>92</v>
      </c>
      <c r="Q109" s="61">
        <f>IF(budgetMilestone3[row] &lt;= numCategories +3, budgetMilestone3[row]-1, MOD(budgetMilestone3[row]-1,numCategories+3) + IF(MOD(budgetMilestone3[row]-2,numCategories+2)&gt;numCategories+1, 1,0))</f>
        <v>3</v>
      </c>
      <c r="R109" s="60">
        <f>IFERROR(INDEX(directors[Last],MAX(1,FLOOR((budgetMilestone3[row]-1)/(numCategories+3)+1,1))),1)</f>
        <v>0</v>
      </c>
    </row>
    <row r="110" spans="1:18" ht="15" customHeight="1" x14ac:dyDescent="0.25">
      <c r="A110" s="105" t="str">
        <f ca="1"/>
        <v>Travel</v>
      </c>
      <c r="B110" s="105">
        <f ca="1"/>
        <v>0</v>
      </c>
      <c r="C110" s="105">
        <f ca="1"/>
        <v>0</v>
      </c>
      <c r="D110" s="105">
        <f ca="1"/>
        <v>0</v>
      </c>
      <c r="E110" s="105">
        <f ca="1"/>
        <v>0</v>
      </c>
      <c r="F110" s="105">
        <f ca="1"/>
        <v>0</v>
      </c>
      <c r="G110" s="105">
        <f ca="1"/>
        <v>0</v>
      </c>
      <c r="H110" s="60"/>
      <c r="I110"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Travel</v>
      </c>
      <c r="J110" s="122">
        <f>budgetMilestone1[[#This Row],[Milestone 1]]</f>
        <v>0</v>
      </c>
      <c r="K110" s="122">
        <f>budgetMilestone2[[#This Row],[Milestone 2]]</f>
        <v>0</v>
      </c>
      <c r="L110" s="122">
        <f>SUMIFS(ARF[Amount in Euro], ARF[Co Director],budgetMilestone3[director], ARF[Category], budgetMilestone3[Category], ARF[Date], "&gt;" &amp; cleanDateMilestone2,ARF[Date], "&lt;=" &amp; cleanDateMilestone3)</f>
        <v>0</v>
      </c>
      <c r="M110" s="123">
        <f ca="1">'Milestone 3'!$E110</f>
        <v>0</v>
      </c>
      <c r="N110" s="123">
        <f ca="1">'Milestone 3'!$F110</f>
        <v>0</v>
      </c>
      <c r="O110" s="122">
        <f ca="1">SUM(budgetMilestone3[[#This Row],[Milestone 1]:[Final]])</f>
        <v>0</v>
      </c>
      <c r="P110" s="60">
        <f>ROW()-ROW(budgetMilestone3[#Headers])</f>
        <v>93</v>
      </c>
      <c r="Q110" s="60">
        <f>IF(budgetMilestone3[row] &lt;= numCategories +3, budgetMilestone3[row]-1, MOD(budgetMilestone3[row]-1,numCategories+3) + IF(MOD(budgetMilestone3[row]-2,numCategories+2)&gt;numCategories+1, 1,0))</f>
        <v>4</v>
      </c>
      <c r="R110" s="60">
        <f>IFERROR(INDEX(directors[Last],MAX(1,FLOOR((budgetMilestone3[row]-1)/(numCategories+3)+1,1))),1)</f>
        <v>0</v>
      </c>
    </row>
    <row r="111" spans="1:18" ht="15" customHeight="1" x14ac:dyDescent="0.25">
      <c r="A111" s="105" t="str">
        <f ca="1"/>
        <v>Consumables</v>
      </c>
      <c r="B111" s="105">
        <f ca="1"/>
        <v>0</v>
      </c>
      <c r="C111" s="105">
        <f ca="1"/>
        <v>0</v>
      </c>
      <c r="D111" s="105">
        <f ca="1"/>
        <v>0</v>
      </c>
      <c r="E111" s="105">
        <f ca="1"/>
        <v>0</v>
      </c>
      <c r="F111" s="105">
        <f ca="1"/>
        <v>0</v>
      </c>
      <c r="G111" s="105">
        <f ca="1"/>
        <v>0</v>
      </c>
      <c r="H111" s="60"/>
      <c r="I111"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Consumables</v>
      </c>
      <c r="J111" s="122">
        <f>budgetMilestone1[[#This Row],[Milestone 1]]</f>
        <v>0</v>
      </c>
      <c r="K111" s="122">
        <f>budgetMilestone2[[#This Row],[Milestone 2]]</f>
        <v>0</v>
      </c>
      <c r="L111" s="122">
        <f>SUMIFS(ARF[Amount in Euro], ARF[Co Director],budgetMilestone3[director], ARF[Category], budgetMilestone3[Category], ARF[Date], "&gt;" &amp; cleanDateMilestone2,ARF[Date], "&lt;=" &amp; cleanDateMilestone3)</f>
        <v>0</v>
      </c>
      <c r="M111" s="123">
        <f ca="1">'Milestone 3'!$E111</f>
        <v>0</v>
      </c>
      <c r="N111" s="123">
        <f ca="1">'Milestone 3'!$F111</f>
        <v>0</v>
      </c>
      <c r="O111" s="122">
        <f ca="1">SUM(budgetMilestone3[[#This Row],[Milestone 1]:[Final]])</f>
        <v>0</v>
      </c>
      <c r="P111" s="60">
        <f>ROW()-ROW(budgetMilestone3[#Headers])</f>
        <v>94</v>
      </c>
      <c r="Q111" s="60">
        <f>IF(budgetMilestone3[row] &lt;= numCategories +3, budgetMilestone3[row]-1, MOD(budgetMilestone3[row]-1,numCategories+3) + IF(MOD(budgetMilestone3[row]-2,numCategories+2)&gt;numCategories+1, 1,0))</f>
        <v>5</v>
      </c>
      <c r="R111" s="60">
        <f>IFERROR(INDEX(directors[Last],MAX(1,FLOOR((budgetMilestone3[row]-1)/(numCategories+3)+1,1))),1)</f>
        <v>0</v>
      </c>
    </row>
    <row r="112" spans="1:18" ht="15" customHeight="1" x14ac:dyDescent="0.25">
      <c r="A112" s="105" t="str">
        <f ca="1"/>
        <v>Other</v>
      </c>
      <c r="B112" s="105">
        <f ca="1"/>
        <v>0</v>
      </c>
      <c r="C112" s="105">
        <f ca="1"/>
        <v>0</v>
      </c>
      <c r="D112" s="105">
        <f ca="1"/>
        <v>0</v>
      </c>
      <c r="E112" s="105">
        <f ca="1"/>
        <v>0</v>
      </c>
      <c r="F112" s="105">
        <f ca="1"/>
        <v>0</v>
      </c>
      <c r="G112" s="105">
        <f ca="1"/>
        <v>0</v>
      </c>
      <c r="H112" s="60"/>
      <c r="I112"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Other</v>
      </c>
      <c r="J112" s="122">
        <f>budgetMilestone1[[#This Row],[Milestone 1]]</f>
        <v>0</v>
      </c>
      <c r="K112" s="122">
        <f>budgetMilestone2[[#This Row],[Milestone 2]]</f>
        <v>0</v>
      </c>
      <c r="L112" s="122">
        <f>SUMIFS(ARF[Amount in Euro], ARF[Co Director],budgetMilestone3[director], ARF[Category], budgetMilestone3[Category], ARF[Date], "&gt;" &amp; cleanDateMilestone2,ARF[Date], "&lt;=" &amp; cleanDateMilestone3)</f>
        <v>0</v>
      </c>
      <c r="M112" s="123">
        <f ca="1">'Milestone 3'!$E112</f>
        <v>0</v>
      </c>
      <c r="N112" s="123">
        <f ca="1">'Milestone 3'!$F112</f>
        <v>0</v>
      </c>
      <c r="O112" s="122">
        <f ca="1">SUM(budgetMilestone3[[#This Row],[Milestone 1]:[Final]])</f>
        <v>0</v>
      </c>
      <c r="P112" s="61">
        <f>ROW()-ROW(budgetMilestone3[#Headers])</f>
        <v>95</v>
      </c>
      <c r="Q112" s="61">
        <f>IF(budgetMilestone3[row] &lt;= numCategories +3, budgetMilestone3[row]-1, MOD(budgetMilestone3[row]-1,numCategories+3) + IF(MOD(budgetMilestone3[row]-2,numCategories+2)&gt;numCategories+1, 1,0))</f>
        <v>6</v>
      </c>
      <c r="R112" s="60">
        <f>IFERROR(INDEX(directors[Last],MAX(1,FLOOR((budgetMilestone3[row]-1)/(numCategories+3)+1,1))),1)</f>
        <v>0</v>
      </c>
    </row>
    <row r="113" spans="1:18" ht="15" customHeight="1" x14ac:dyDescent="0.25">
      <c r="A113" s="105" t="str">
        <f ca="1"/>
        <v>Stipends</v>
      </c>
      <c r="B113" s="105">
        <f ca="1"/>
        <v>0</v>
      </c>
      <c r="C113" s="105">
        <f ca="1"/>
        <v>0</v>
      </c>
      <c r="D113" s="105">
        <f ca="1"/>
        <v>0</v>
      </c>
      <c r="E113" s="105">
        <f ca="1"/>
        <v>0</v>
      </c>
      <c r="F113" s="105">
        <f ca="1"/>
        <v>0</v>
      </c>
      <c r="G113" s="105">
        <f ca="1"/>
        <v>0</v>
      </c>
      <c r="H113" s="60"/>
      <c r="I113"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Stipends</v>
      </c>
      <c r="J113" s="122">
        <f>budgetMilestone1[[#This Row],[Milestone 1]]</f>
        <v>0</v>
      </c>
      <c r="K113" s="122">
        <f>budgetMilestone2[[#This Row],[Milestone 2]]</f>
        <v>0</v>
      </c>
      <c r="L113" s="122">
        <f>SUMIFS(ARF[Amount in Euro], ARF[Co Director],budgetMilestone3[director], ARF[Category], budgetMilestone3[Category], ARF[Date], "&gt;" &amp; cleanDateMilestone2,ARF[Date], "&lt;=" &amp; cleanDateMilestone3)</f>
        <v>0</v>
      </c>
      <c r="M113" s="123">
        <f ca="1">'Milestone 3'!$E113</f>
        <v>0</v>
      </c>
      <c r="N113" s="123">
        <f ca="1">'Milestone 3'!$F113</f>
        <v>0</v>
      </c>
      <c r="O113" s="122">
        <f ca="1">SUM(budgetMilestone3[[#This Row],[Milestone 1]:[Final]])</f>
        <v>0</v>
      </c>
      <c r="P113" s="61">
        <f>ROW()-ROW(budgetMilestone3[#Headers])</f>
        <v>96</v>
      </c>
      <c r="Q113" s="61">
        <f>IF(budgetMilestone3[row] &lt;= numCategories +3, budgetMilestone3[row]-1, MOD(budgetMilestone3[row]-1,numCategories+3) + IF(MOD(budgetMilestone3[row]-2,numCategories+2)&gt;numCategories+1, 1,0))</f>
        <v>7</v>
      </c>
      <c r="R113" s="60">
        <f>IFERROR(INDEX(directors[Last],MAX(1,FLOOR((budgetMilestone3[row]-1)/(numCategories+3)+1,1))),1)</f>
        <v>0</v>
      </c>
    </row>
    <row r="114" spans="1:18" ht="15" customHeight="1" x14ac:dyDescent="0.25">
      <c r="A114" s="105" t="str">
        <f ca="1"/>
        <v>Co-financing of personnel</v>
      </c>
      <c r="B114" s="105">
        <f ca="1"/>
        <v>0</v>
      </c>
      <c r="C114" s="105">
        <f ca="1"/>
        <v>0</v>
      </c>
      <c r="D114" s="105">
        <f ca="1"/>
        <v>0</v>
      </c>
      <c r="E114" s="105">
        <f ca="1"/>
        <v>0</v>
      </c>
      <c r="F114" s="105">
        <f ca="1"/>
        <v>0</v>
      </c>
      <c r="G114" s="105">
        <f ca="1"/>
        <v>0</v>
      </c>
      <c r="H114" s="60"/>
      <c r="I114" s="122"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Co-financing of personnel</v>
      </c>
      <c r="J114" s="122">
        <f>budgetMilestone1[[#This Row],[Milestone 1]]</f>
        <v>0</v>
      </c>
      <c r="K114" s="122">
        <f>budgetMilestone2[[#This Row],[Milestone 2]]</f>
        <v>0</v>
      </c>
      <c r="L114" s="122">
        <f>SUMIFS(ARF[Amount in Euro], ARF[Co Director],budgetMilestone3[director], ARF[Category], budgetMilestone3[Category], ARF[Date], "&gt;" &amp; cleanDateMilestone2,ARF[Date], "&lt;=" &amp; cleanDateMilestone3)</f>
        <v>0</v>
      </c>
      <c r="M114" s="123">
        <f ca="1">'Milestone 3'!$E114</f>
        <v>0</v>
      </c>
      <c r="N114" s="123">
        <f ca="1">'Milestone 3'!$F114</f>
        <v>0</v>
      </c>
      <c r="O114" s="122">
        <f ca="1">SUM(budgetMilestone3[[#This Row],[Milestone 1]:[Final]])</f>
        <v>0</v>
      </c>
      <c r="P114" s="60">
        <f>ROW()-ROW(budgetMilestone3[#Headers])</f>
        <v>97</v>
      </c>
      <c r="Q114" s="60">
        <f>IF(budgetMilestone3[row] &lt;= numCategories +3, budgetMilestone3[row]-1, MOD(budgetMilestone3[row]-1,numCategories+3) + IF(MOD(budgetMilestone3[row]-2,numCategories+2)&gt;numCategories+1, 1,0))</f>
        <v>8</v>
      </c>
      <c r="R114" s="60">
        <f>IFERROR(INDEX(directors[Last],MAX(1,FLOOR((budgetMilestone3[row]-1)/(numCategories+3)+1,1))),1)</f>
        <v>0</v>
      </c>
    </row>
    <row r="115" spans="1:18" ht="15" customHeight="1" x14ac:dyDescent="0.25">
      <c r="A115" s="105" t="str">
        <f ca="1"/>
        <v>Subtotal 0</v>
      </c>
      <c r="B115" s="105">
        <f ca="1"/>
        <v>0</v>
      </c>
      <c r="C115" s="105">
        <f ca="1"/>
        <v>0</v>
      </c>
      <c r="D115" s="105">
        <f ca="1"/>
        <v>0</v>
      </c>
      <c r="E115" s="105">
        <f ca="1"/>
        <v>0</v>
      </c>
      <c r="F115" s="105">
        <f ca="1"/>
        <v>0</v>
      </c>
      <c r="G115" s="105">
        <f ca="1"/>
        <v>0</v>
      </c>
      <c r="H115" s="60"/>
      <c r="I115"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Subtotal 0</v>
      </c>
      <c r="J115" s="122">
        <f>budgetMilestone1[[#This Row],[Milestone 1]]</f>
        <v>0</v>
      </c>
      <c r="K115" s="122">
        <f>budgetMilestone2[[#This Row],[Milestone 2]]</f>
        <v>0</v>
      </c>
      <c r="L115" s="122">
        <f t="shared" ref="L115:O115" si="7">SUBTOTAL(9,L107:L114)</f>
        <v>0</v>
      </c>
      <c r="M115" s="122">
        <f t="shared" ca="1" si="7"/>
        <v>0</v>
      </c>
      <c r="N115" s="122">
        <f t="shared" ca="1" si="7"/>
        <v>0</v>
      </c>
      <c r="O115" s="122">
        <f t="shared" ca="1" si="7"/>
        <v>0</v>
      </c>
      <c r="P115" s="61">
        <f>ROW()-ROW(budgetMilestone3[#Headers])</f>
        <v>98</v>
      </c>
      <c r="Q115" s="61">
        <f>IF(budgetMilestone3[row] &lt;= numCategories +3, budgetMilestone3[row]-1, MOD(budgetMilestone3[row]-1,numCategories+3) + IF(MOD(budgetMilestone3[row]-2,numCategories+2)&gt;numCategories+1, 1,0))</f>
        <v>9</v>
      </c>
      <c r="R115" s="60">
        <f>IFERROR(INDEX(directors[Last],MAX(1,FLOOR((budgetMilestone3[row]-1)/(numCategories+3)+1,1))),1)</f>
        <v>0</v>
      </c>
    </row>
    <row r="116" spans="1:18" ht="15" customHeight="1" x14ac:dyDescent="0.25">
      <c r="A116" s="105" t="str">
        <f ca="1"/>
        <v/>
      </c>
      <c r="B116" s="105">
        <f ca="1"/>
        <v>0</v>
      </c>
      <c r="C116" s="105">
        <f ca="1"/>
        <v>0</v>
      </c>
      <c r="D116" s="105">
        <f ca="1"/>
        <v>0</v>
      </c>
      <c r="E116" s="105">
        <f ca="1"/>
        <v>0</v>
      </c>
      <c r="F116" s="105">
        <f ca="1"/>
        <v>0</v>
      </c>
      <c r="G116" s="105">
        <f ca="1"/>
        <v>0</v>
      </c>
      <c r="H116" s="60"/>
      <c r="I116"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c>
      <c r="J116" s="122">
        <f>budgetMilestone1[[#This Row],[Milestone 1]]</f>
        <v>0</v>
      </c>
      <c r="K116" s="122">
        <f>budgetMilestone2[[#This Row],[Milestone 2]]</f>
        <v>0</v>
      </c>
      <c r="L116" s="122">
        <f>SUMIFS(ARF[Amount in Euro], ARF[Co Director],budgetMilestone3[director], ARF[Category], budgetMilestone3[Category], ARF[Date], "&gt;" &amp; cleanDateMilestone2,ARF[Date], "&lt;=" &amp; cleanDateMilestone3)</f>
        <v>0</v>
      </c>
      <c r="M116" s="123"/>
      <c r="N116" s="123"/>
      <c r="O116" s="122">
        <f>SUM(budgetMilestone3[[#This Row],[Milestone 1]:[Final]])</f>
        <v>0</v>
      </c>
      <c r="P116" s="61">
        <f>ROW()-ROW(budgetMilestone3[#Headers])</f>
        <v>99</v>
      </c>
      <c r="Q116" s="61">
        <f>IF(budgetMilestone3[row] &lt;= numCategories +3, budgetMilestone3[row]-1, MOD(budgetMilestone3[row]-1,numCategories+3) + IF(MOD(budgetMilestone3[row]-2,numCategories+2)&gt;numCategories+1, 1,0))</f>
        <v>10</v>
      </c>
      <c r="R116" s="60">
        <f>IFERROR(INDEX(directors[Last],MAX(1,FLOOR((budgetMilestone3[row]-1)/(numCategories+3)+1,1))),1)</f>
        <v>0</v>
      </c>
    </row>
    <row r="117" spans="1:18" ht="15" customHeight="1" x14ac:dyDescent="0.25">
      <c r="A117" s="119" t="str">
        <f ca="1"/>
        <v xml:space="preserve">0 / </v>
      </c>
      <c r="B117" s="119">
        <f ca="1"/>
        <v>0</v>
      </c>
      <c r="C117" s="119">
        <f ca="1"/>
        <v>0</v>
      </c>
      <c r="D117" s="119">
        <f ca="1"/>
        <v>0</v>
      </c>
      <c r="E117" s="119">
        <f ca="1"/>
        <v>0</v>
      </c>
      <c r="F117" s="119">
        <f ca="1"/>
        <v>0</v>
      </c>
      <c r="G117" s="119">
        <f ca="1"/>
        <v>0</v>
      </c>
      <c r="H117" s="60"/>
      <c r="I117"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xml:space="preserve">0 / </v>
      </c>
      <c r="J117" s="122">
        <f>budgetMilestone1[[#This Row],[Milestone 1]]</f>
        <v>0</v>
      </c>
      <c r="K117" s="122">
        <f>budgetMilestone2[[#This Row],[Milestone 2]]</f>
        <v>0</v>
      </c>
      <c r="L117" s="122">
        <f>SUMIFS(ARF[Amount in Euro], ARF[Co Director],budgetMilestone3[director], ARF[Category], budgetMilestone3[Category], ARF[Date], "&gt;" &amp; cleanDateMilestone2,ARF[Date], "&lt;=" &amp; cleanDateMilestone3)</f>
        <v>0</v>
      </c>
      <c r="M117" s="122"/>
      <c r="N117" s="122"/>
      <c r="O117" s="122">
        <f>SUM(budgetMilestone3[[#This Row],[Milestone 1]:[Final]])</f>
        <v>0</v>
      </c>
      <c r="P117" s="61">
        <f>ROW()-ROW(budgetMilestone3[#Headers])</f>
        <v>100</v>
      </c>
      <c r="Q117" s="61">
        <f>IF(budgetMilestone3[row] &lt;= numCategories +3, budgetMilestone3[row]-1, MOD(budgetMilestone3[row]-1,numCategories+3) + IF(MOD(budgetMilestone3[row]-2,numCategories+2)&gt;numCategories+1, 1,0))</f>
        <v>0</v>
      </c>
      <c r="R117" s="60">
        <f>IFERROR(INDEX(directors[Last],MAX(1,FLOOR((budgetMilestone3[row]-1)/(numCategories+3)+1,1))),1)</f>
        <v>0</v>
      </c>
    </row>
    <row r="118" spans="1:18" x14ac:dyDescent="0.25">
      <c r="A118" s="119" t="str">
        <f ca="1"/>
        <v>Equipment</v>
      </c>
      <c r="B118" s="119">
        <f ca="1"/>
        <v>0</v>
      </c>
      <c r="C118" s="119">
        <f ca="1"/>
        <v>0</v>
      </c>
      <c r="D118" s="119">
        <f ca="1"/>
        <v>0</v>
      </c>
      <c r="E118" s="119">
        <f ca="1"/>
        <v>0</v>
      </c>
      <c r="F118" s="119">
        <f ca="1"/>
        <v>0</v>
      </c>
      <c r="G118" s="119">
        <f ca="1"/>
        <v>0</v>
      </c>
      <c r="H118" s="60"/>
      <c r="I118"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Equipment</v>
      </c>
      <c r="J118" s="122">
        <f>budgetMilestone1[[#This Row],[Milestone 1]]</f>
        <v>0</v>
      </c>
      <c r="K118" s="122">
        <f>budgetMilestone2[[#This Row],[Milestone 2]]</f>
        <v>0</v>
      </c>
      <c r="L118" s="122">
        <f>SUMIFS(ARF[Amount in Euro], ARF[Co Director],budgetMilestone3[director], ARF[Category], budgetMilestone3[Category], ARF[Date], "&gt;" &amp; cleanDateMilestone2,ARF[Date], "&lt;=" &amp; cleanDateMilestone3)</f>
        <v>0</v>
      </c>
      <c r="M118" s="123">
        <f ca="1">'Milestone 3'!$E118</f>
        <v>0</v>
      </c>
      <c r="N118" s="123">
        <f ca="1">'Milestone 3'!$F118</f>
        <v>0</v>
      </c>
      <c r="O118" s="122">
        <f ca="1">SUM(budgetMilestone3[[#This Row],[Milestone 1]:[Final]])</f>
        <v>0</v>
      </c>
      <c r="P118" s="179">
        <f>ROW()-ROW(budgetMilestone3[#Headers])</f>
        <v>101</v>
      </c>
      <c r="Q118" s="179">
        <f>IF(budgetMilestone3[row] &lt;= numCategories +3, budgetMilestone3[row]-1, MOD(budgetMilestone3[row]-1,numCategories+3) + IF(MOD(budgetMilestone3[row]-2,numCategories+2)&gt;numCategories+1, 1,0))</f>
        <v>1</v>
      </c>
      <c r="R118" s="60">
        <f>IFERROR(INDEX(directors[Last],MAX(1,FLOOR((budgetMilestone3[row]-1)/(numCategories+3)+1,1))),1)</f>
        <v>0</v>
      </c>
    </row>
    <row r="119" spans="1:18" x14ac:dyDescent="0.25">
      <c r="A119" s="119" t="str">
        <f ca="1"/>
        <v>Training</v>
      </c>
      <c r="B119" s="119">
        <f ca="1"/>
        <v>0</v>
      </c>
      <c r="C119" s="119">
        <f ca="1"/>
        <v>0</v>
      </c>
      <c r="D119" s="119">
        <f ca="1"/>
        <v>0</v>
      </c>
      <c r="E119" s="119">
        <f ca="1"/>
        <v>0</v>
      </c>
      <c r="F119" s="119">
        <f ca="1"/>
        <v>0</v>
      </c>
      <c r="G119" s="119">
        <f ca="1"/>
        <v>0</v>
      </c>
      <c r="I119"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Training</v>
      </c>
      <c r="J119" s="122">
        <f>budgetMilestone1[[#This Row],[Milestone 1]]</f>
        <v>0</v>
      </c>
      <c r="K119" s="122">
        <f>budgetMilestone2[[#This Row],[Milestone 2]]</f>
        <v>0</v>
      </c>
      <c r="L119" s="122">
        <f>SUMIFS(ARF[Amount in Euro], ARF[Co Director],budgetMilestone3[director], ARF[Category], budgetMilestone3[Category], ARF[Date], "&gt;" &amp; cleanDateMilestone2,ARF[Date], "&lt;=" &amp; cleanDateMilestone3)</f>
        <v>0</v>
      </c>
      <c r="M119" s="123">
        <f ca="1">'Milestone 3'!$E119</f>
        <v>0</v>
      </c>
      <c r="N119" s="123">
        <f ca="1">'Milestone 3'!$F119</f>
        <v>0</v>
      </c>
      <c r="O119" s="122">
        <f ca="1">SUM(budgetMilestone3[[#This Row],[Milestone 1]:[Final]])</f>
        <v>0</v>
      </c>
      <c r="P119" s="179">
        <f>ROW()-ROW(budgetMilestone3[#Headers])</f>
        <v>102</v>
      </c>
      <c r="Q119" s="179">
        <f>IF(budgetMilestone3[row] &lt;= numCategories +3, budgetMilestone3[row]-1, MOD(budgetMilestone3[row]-1,numCategories+3) + IF(MOD(budgetMilestone3[row]-2,numCategories+2)&gt;numCategories+1, 1,0))</f>
        <v>2</v>
      </c>
      <c r="R119" s="60">
        <f>IFERROR(INDEX(directors[Last],MAX(1,FLOOR((budgetMilestone3[row]-1)/(numCategories+3)+1,1))),1)</f>
        <v>0</v>
      </c>
    </row>
    <row r="120" spans="1:18" x14ac:dyDescent="0.25">
      <c r="A120" s="119" t="str">
        <f ca="1"/>
        <v>Communication &amp; Publication</v>
      </c>
      <c r="B120" s="119">
        <f ca="1"/>
        <v>0</v>
      </c>
      <c r="C120" s="119">
        <f ca="1"/>
        <v>0</v>
      </c>
      <c r="D120" s="119">
        <f ca="1"/>
        <v>0</v>
      </c>
      <c r="E120" s="119">
        <f ca="1"/>
        <v>0</v>
      </c>
      <c r="F120" s="119">
        <f ca="1"/>
        <v>0</v>
      </c>
      <c r="G120" s="119">
        <f ca="1"/>
        <v>0</v>
      </c>
      <c r="I120"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Communication &amp; Publication</v>
      </c>
      <c r="J120" s="122">
        <f>budgetMilestone1[[#This Row],[Milestone 1]]</f>
        <v>0</v>
      </c>
      <c r="K120" s="122">
        <f>budgetMilestone2[[#This Row],[Milestone 2]]</f>
        <v>0</v>
      </c>
      <c r="L120" s="122">
        <f>SUMIFS(ARF[Amount in Euro], ARF[Co Director],budgetMilestone3[director], ARF[Category], budgetMilestone3[Category], ARF[Date], "&gt;" &amp; cleanDateMilestone2,ARF[Date], "&lt;=" &amp; cleanDateMilestone3)</f>
        <v>0</v>
      </c>
      <c r="M120" s="123">
        <f ca="1">'Milestone 3'!$E120</f>
        <v>0</v>
      </c>
      <c r="N120" s="123">
        <f ca="1">'Milestone 3'!$F120</f>
        <v>0</v>
      </c>
      <c r="O120" s="122">
        <f ca="1">SUM(budgetMilestone3[[#This Row],[Milestone 1]:[Final]])</f>
        <v>0</v>
      </c>
      <c r="P120" s="179">
        <f>ROW()-ROW(budgetMilestone3[#Headers])</f>
        <v>103</v>
      </c>
      <c r="Q120" s="179">
        <f>IF(budgetMilestone3[row] &lt;= numCategories +3, budgetMilestone3[row]-1, MOD(budgetMilestone3[row]-1,numCategories+3) + IF(MOD(budgetMilestone3[row]-2,numCategories+2)&gt;numCategories+1, 1,0))</f>
        <v>3</v>
      </c>
      <c r="R120" s="60">
        <f>IFERROR(INDEX(directors[Last],MAX(1,FLOOR((budgetMilestone3[row]-1)/(numCategories+3)+1,1))),1)</f>
        <v>0</v>
      </c>
    </row>
    <row r="121" spans="1:18" x14ac:dyDescent="0.25">
      <c r="A121" s="119" t="str">
        <f ca="1"/>
        <v>Travel</v>
      </c>
      <c r="B121" s="119">
        <f ca="1"/>
        <v>0</v>
      </c>
      <c r="C121" s="119">
        <f ca="1"/>
        <v>0</v>
      </c>
      <c r="D121" s="119">
        <f ca="1"/>
        <v>0</v>
      </c>
      <c r="E121" s="119">
        <f ca="1"/>
        <v>0</v>
      </c>
      <c r="F121" s="119">
        <f ca="1"/>
        <v>0</v>
      </c>
      <c r="G121" s="119">
        <f ca="1"/>
        <v>0</v>
      </c>
      <c r="I121"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Travel</v>
      </c>
      <c r="J121" s="122">
        <f>budgetMilestone1[[#This Row],[Milestone 1]]</f>
        <v>0</v>
      </c>
      <c r="K121" s="122">
        <f>budgetMilestone2[[#This Row],[Milestone 2]]</f>
        <v>0</v>
      </c>
      <c r="L121" s="122">
        <f>SUMIFS(ARF[Amount in Euro], ARF[Co Director],budgetMilestone3[director], ARF[Category], budgetMilestone3[Category], ARF[Date], "&gt;" &amp; cleanDateMilestone2,ARF[Date], "&lt;=" &amp; cleanDateMilestone3)</f>
        <v>0</v>
      </c>
      <c r="M121" s="123">
        <f ca="1">'Milestone 3'!$E121</f>
        <v>0</v>
      </c>
      <c r="N121" s="123">
        <f ca="1">'Milestone 3'!$F121</f>
        <v>0</v>
      </c>
      <c r="O121" s="122">
        <f ca="1">SUM(budgetMilestone3[[#This Row],[Milestone 1]:[Final]])</f>
        <v>0</v>
      </c>
      <c r="P121" s="179">
        <f>ROW()-ROW(budgetMilestone3[#Headers])</f>
        <v>104</v>
      </c>
      <c r="Q121" s="179">
        <f>IF(budgetMilestone3[row] &lt;= numCategories +3, budgetMilestone3[row]-1, MOD(budgetMilestone3[row]-1,numCategories+3) + IF(MOD(budgetMilestone3[row]-2,numCategories+2)&gt;numCategories+1, 1,0))</f>
        <v>4</v>
      </c>
      <c r="R121" s="60">
        <f>IFERROR(INDEX(directors[Last],MAX(1,FLOOR((budgetMilestone3[row]-1)/(numCategories+3)+1,1))),1)</f>
        <v>0</v>
      </c>
    </row>
    <row r="122" spans="1:18" x14ac:dyDescent="0.25">
      <c r="A122" s="119" t="str">
        <f ca="1"/>
        <v>Consumables</v>
      </c>
      <c r="B122" s="119">
        <f ca="1"/>
        <v>0</v>
      </c>
      <c r="C122" s="119">
        <f ca="1"/>
        <v>0</v>
      </c>
      <c r="D122" s="119">
        <f ca="1"/>
        <v>0</v>
      </c>
      <c r="E122" s="119">
        <f ca="1"/>
        <v>0</v>
      </c>
      <c r="F122" s="119">
        <f ca="1"/>
        <v>0</v>
      </c>
      <c r="G122" s="119">
        <f ca="1"/>
        <v>0</v>
      </c>
      <c r="I122"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Consumables</v>
      </c>
      <c r="J122" s="122">
        <f>budgetMilestone1[[#This Row],[Milestone 1]]</f>
        <v>0</v>
      </c>
      <c r="K122" s="122">
        <f>budgetMilestone2[[#This Row],[Milestone 2]]</f>
        <v>0</v>
      </c>
      <c r="L122" s="122">
        <f>SUMIFS(ARF[Amount in Euro], ARF[Co Director],budgetMilestone3[director], ARF[Category], budgetMilestone3[Category], ARF[Date], "&gt;" &amp; cleanDateMilestone2,ARF[Date], "&lt;=" &amp; cleanDateMilestone3)</f>
        <v>0</v>
      </c>
      <c r="M122" s="123">
        <f ca="1">'Milestone 3'!$E122</f>
        <v>0</v>
      </c>
      <c r="N122" s="123">
        <f ca="1">'Milestone 3'!$F122</f>
        <v>0</v>
      </c>
      <c r="O122" s="122">
        <f ca="1">SUM(budgetMilestone3[[#This Row],[Milestone 1]:[Final]])</f>
        <v>0</v>
      </c>
      <c r="P122" s="179">
        <f>ROW()-ROW(budgetMilestone3[#Headers])</f>
        <v>105</v>
      </c>
      <c r="Q122" s="179">
        <f>IF(budgetMilestone3[row] &lt;= numCategories +3, budgetMilestone3[row]-1, MOD(budgetMilestone3[row]-1,numCategories+3) + IF(MOD(budgetMilestone3[row]-2,numCategories+2)&gt;numCategories+1, 1,0))</f>
        <v>5</v>
      </c>
      <c r="R122" s="60">
        <f>IFERROR(INDEX(directors[Last],MAX(1,FLOOR((budgetMilestone3[row]-1)/(numCategories+3)+1,1))),1)</f>
        <v>0</v>
      </c>
    </row>
    <row r="123" spans="1:18" x14ac:dyDescent="0.25">
      <c r="A123" s="119" t="str">
        <f ca="1"/>
        <v>Other</v>
      </c>
      <c r="B123" s="119">
        <f ca="1"/>
        <v>0</v>
      </c>
      <c r="C123" s="119">
        <f ca="1"/>
        <v>0</v>
      </c>
      <c r="D123" s="119">
        <f ca="1"/>
        <v>0</v>
      </c>
      <c r="E123" s="119">
        <f ca="1"/>
        <v>0</v>
      </c>
      <c r="F123" s="119">
        <f ca="1"/>
        <v>0</v>
      </c>
      <c r="G123" s="119">
        <f ca="1"/>
        <v>0</v>
      </c>
      <c r="I123"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Other</v>
      </c>
      <c r="J123" s="122">
        <f>budgetMilestone1[[#This Row],[Milestone 1]]</f>
        <v>0</v>
      </c>
      <c r="K123" s="122">
        <f>budgetMilestone2[[#This Row],[Milestone 2]]</f>
        <v>0</v>
      </c>
      <c r="L123" s="122">
        <f>SUMIFS(ARF[Amount in Euro], ARF[Co Director],budgetMilestone3[director], ARF[Category], budgetMilestone3[Category], ARF[Date], "&gt;" &amp; cleanDateMilestone2,ARF[Date], "&lt;=" &amp; cleanDateMilestone3)</f>
        <v>0</v>
      </c>
      <c r="M123" s="123">
        <f ca="1">'Milestone 3'!$E123</f>
        <v>0</v>
      </c>
      <c r="N123" s="123">
        <f ca="1">'Milestone 3'!$F123</f>
        <v>0</v>
      </c>
      <c r="O123" s="122">
        <f ca="1">SUM(budgetMilestone3[[#This Row],[Milestone 1]:[Final]])</f>
        <v>0</v>
      </c>
      <c r="P123" s="179">
        <f>ROW()-ROW(budgetMilestone3[#Headers])</f>
        <v>106</v>
      </c>
      <c r="Q123" s="179">
        <f>IF(budgetMilestone3[row] &lt;= numCategories +3, budgetMilestone3[row]-1, MOD(budgetMilestone3[row]-1,numCategories+3) + IF(MOD(budgetMilestone3[row]-2,numCategories+2)&gt;numCategories+1, 1,0))</f>
        <v>6</v>
      </c>
      <c r="R123" s="60">
        <f>IFERROR(INDEX(directors[Last],MAX(1,FLOOR((budgetMilestone3[row]-1)/(numCategories+3)+1,1))),1)</f>
        <v>0</v>
      </c>
    </row>
    <row r="124" spans="1:18" x14ac:dyDescent="0.25">
      <c r="A124" s="119" t="str">
        <f ca="1"/>
        <v>Stipends</v>
      </c>
      <c r="B124" s="119">
        <f ca="1"/>
        <v>0</v>
      </c>
      <c r="C124" s="119">
        <f ca="1"/>
        <v>0</v>
      </c>
      <c r="D124" s="119">
        <f ca="1"/>
        <v>0</v>
      </c>
      <c r="E124" s="119">
        <f ca="1"/>
        <v>0</v>
      </c>
      <c r="F124" s="119">
        <f ca="1"/>
        <v>0</v>
      </c>
      <c r="G124" s="119">
        <f ca="1"/>
        <v>0</v>
      </c>
      <c r="I124"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Stipends</v>
      </c>
      <c r="J124" s="122">
        <f>budgetMilestone1[[#This Row],[Milestone 1]]</f>
        <v>0</v>
      </c>
      <c r="K124" s="122">
        <f>budgetMilestone2[[#This Row],[Milestone 2]]</f>
        <v>0</v>
      </c>
      <c r="L124" s="122">
        <f>SUMIFS(ARF[Amount in Euro], ARF[Co Director],budgetMilestone3[director], ARF[Category], budgetMilestone3[Category], ARF[Date], "&gt;" &amp; cleanDateMilestone2,ARF[Date], "&lt;=" &amp; cleanDateMilestone3)</f>
        <v>0</v>
      </c>
      <c r="M124" s="123">
        <f ca="1">'Milestone 3'!$E124</f>
        <v>0</v>
      </c>
      <c r="N124" s="123">
        <f ca="1">'Milestone 3'!$F124</f>
        <v>0</v>
      </c>
      <c r="O124" s="122">
        <f ca="1">SUM(budgetMilestone3[[#This Row],[Milestone 1]:[Final]])</f>
        <v>0</v>
      </c>
      <c r="P124" s="179">
        <f>ROW()-ROW(budgetMilestone3[#Headers])</f>
        <v>107</v>
      </c>
      <c r="Q124" s="179">
        <f>IF(budgetMilestone3[row] &lt;= numCategories +3, budgetMilestone3[row]-1, MOD(budgetMilestone3[row]-1,numCategories+3) + IF(MOD(budgetMilestone3[row]-2,numCategories+2)&gt;numCategories+1, 1,0))</f>
        <v>7</v>
      </c>
      <c r="R124" s="60">
        <f>IFERROR(INDEX(directors[Last],MAX(1,FLOOR((budgetMilestone3[row]-1)/(numCategories+3)+1,1))),1)</f>
        <v>0</v>
      </c>
    </row>
    <row r="125" spans="1:18" x14ac:dyDescent="0.25">
      <c r="A125" s="119" t="str">
        <f ca="1"/>
        <v>Co-financing of personnel</v>
      </c>
      <c r="B125" s="119">
        <f ca="1"/>
        <v>0</v>
      </c>
      <c r="C125" s="119">
        <f ca="1"/>
        <v>0</v>
      </c>
      <c r="D125" s="119">
        <f ca="1"/>
        <v>0</v>
      </c>
      <c r="E125" s="119">
        <f ca="1"/>
        <v>0</v>
      </c>
      <c r="F125" s="119">
        <f ca="1"/>
        <v>0</v>
      </c>
      <c r="G125" s="119">
        <f ca="1"/>
        <v>0</v>
      </c>
      <c r="I125"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Co-financing of personnel</v>
      </c>
      <c r="J125" s="122">
        <f>budgetMilestone1[[#This Row],[Milestone 1]]</f>
        <v>0</v>
      </c>
      <c r="K125" s="122">
        <f>budgetMilestone2[[#This Row],[Milestone 2]]</f>
        <v>0</v>
      </c>
      <c r="L125" s="122">
        <f>SUMIFS(ARF[Amount in Euro], ARF[Co Director],budgetMilestone3[director], ARF[Category], budgetMilestone3[Category], ARF[Date], "&gt;" &amp; cleanDateMilestone2,ARF[Date], "&lt;=" &amp; cleanDateMilestone3)</f>
        <v>0</v>
      </c>
      <c r="M125" s="123">
        <f ca="1">'Milestone 3'!$E125</f>
        <v>0</v>
      </c>
      <c r="N125" s="123">
        <f ca="1">'Milestone 3'!$F125</f>
        <v>0</v>
      </c>
      <c r="O125" s="122">
        <f ca="1">SUM(budgetMilestone3[[#This Row],[Milestone 1]:[Final]])</f>
        <v>0</v>
      </c>
      <c r="P125" s="179">
        <f>ROW()-ROW(budgetMilestone3[#Headers])</f>
        <v>108</v>
      </c>
      <c r="Q125" s="179">
        <f>IF(budgetMilestone3[row] &lt;= numCategories +3, budgetMilestone3[row]-1, MOD(budgetMilestone3[row]-1,numCategories+3) + IF(MOD(budgetMilestone3[row]-2,numCategories+2)&gt;numCategories+1, 1,0))</f>
        <v>8</v>
      </c>
      <c r="R125" s="60">
        <f>IFERROR(INDEX(directors[Last],MAX(1,FLOOR((budgetMilestone3[row]-1)/(numCategories+3)+1,1))),1)</f>
        <v>0</v>
      </c>
    </row>
    <row r="126" spans="1:18" x14ac:dyDescent="0.25">
      <c r="A126" s="119" t="str">
        <f ca="1"/>
        <v>Subtotal 0</v>
      </c>
      <c r="B126" s="119">
        <f ca="1"/>
        <v>0</v>
      </c>
      <c r="C126" s="119">
        <f ca="1"/>
        <v>0</v>
      </c>
      <c r="D126" s="119">
        <f ca="1"/>
        <v>0</v>
      </c>
      <c r="E126" s="119">
        <f ca="1"/>
        <v>0</v>
      </c>
      <c r="F126" s="119">
        <f ca="1"/>
        <v>0</v>
      </c>
      <c r="G126" s="119">
        <f ca="1"/>
        <v>0</v>
      </c>
      <c r="I126" s="121"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Subtotal 0</v>
      </c>
      <c r="J126" s="122">
        <f>budgetMilestone1[[#This Row],[Milestone 1]]</f>
        <v>0</v>
      </c>
      <c r="K126" s="122">
        <f>budgetMilestone2[[#This Row],[Milestone 2]]</f>
        <v>0</v>
      </c>
      <c r="L126" s="122">
        <f t="shared" ref="L126:O126" si="8">SUBTOTAL(9,L118:L125)</f>
        <v>0</v>
      </c>
      <c r="M126" s="122">
        <f t="shared" ca="1" si="8"/>
        <v>0</v>
      </c>
      <c r="N126" s="122">
        <f t="shared" ca="1" si="8"/>
        <v>0</v>
      </c>
      <c r="O126" s="122">
        <f t="shared" ca="1" si="8"/>
        <v>0</v>
      </c>
      <c r="P126" s="179">
        <f>ROW()-ROW(budgetMilestone3[#Headers])</f>
        <v>109</v>
      </c>
      <c r="Q126" s="179">
        <f>IF(budgetMilestone3[row] &lt;= numCategories +3, budgetMilestone3[row]-1, MOD(budgetMilestone3[row]-1,numCategories+3) + IF(MOD(budgetMilestone3[row]-2,numCategories+2)&gt;numCategories+1, 1,0))</f>
        <v>9</v>
      </c>
      <c r="R126" s="60">
        <f>IFERROR(INDEX(directors[Last],MAX(1,FLOOR((budgetMilestone3[row]-1)/(numCategories+3)+1,1))),1)</f>
        <v>0</v>
      </c>
    </row>
    <row r="127" spans="1:18" x14ac:dyDescent="0.25">
      <c r="I127" s="180" t="str">
        <f>IF(budgetMilestone3[catIndex]=0, budgetMilestone3[director] &amp; " / " &amp; INDEX(directors[Country],MAX(1,FLOOR((budgetMilestone3[row]-2)/(numCategories+2)+1,1))), IF(budgetMilestone3[catIndex]= numCategories + 1, "Subtotal " &amp; budgetMilestone3[director], IF(budgetMilestone3[catIndex] = numCategories + 2, "", IFERROR(INDEX(categories[],budgetMilestone3[catIndex]), ""))))</f>
        <v/>
      </c>
      <c r="J127" s="180">
        <f>budgetMilestone1[[#This Row],[Milestone 1]]</f>
        <v>0</v>
      </c>
      <c r="K127" s="180" t="e">
        <f>budgetMilestone2[[#This Row],[Milestone 2]]</f>
        <v>#VALUE!</v>
      </c>
      <c r="L127" s="180"/>
      <c r="M127" s="180"/>
      <c r="N127" s="180"/>
      <c r="O127" s="122" t="e">
        <f>SUM(budgetMilestone3[[#This Row],[Milestone 1]:[Final]])</f>
        <v>#VALUE!</v>
      </c>
      <c r="P127" s="179">
        <f>ROW()-ROW(budgetMilestone3[#Headers])</f>
        <v>110</v>
      </c>
      <c r="Q127" s="179">
        <f>IF(budgetMilestone3[row] &lt;= numCategories +3, budgetMilestone3[row]-1, MOD(budgetMilestone3[row]-1,numCategories+3) + IF(MOD(budgetMilestone3[row]-2,numCategories+2)&gt;numCategories+1, 1,0))</f>
        <v>10</v>
      </c>
      <c r="R127" s="60">
        <f>IFERROR(INDEX(directors[Last],MAX(1,FLOOR((budgetMilestone3[row]-1)/(numCategories+3)+1,1))),1)</f>
        <v>0</v>
      </c>
    </row>
  </sheetData>
  <sheetProtection sheet="1" selectLockedCells="1"/>
  <mergeCells count="10">
    <mergeCell ref="A4:G4"/>
    <mergeCell ref="I4:O4"/>
    <mergeCell ref="A1:B1"/>
    <mergeCell ref="D1:G1"/>
    <mergeCell ref="I1:K1"/>
    <mergeCell ref="L1:M1"/>
    <mergeCell ref="A2:B2"/>
    <mergeCell ref="D2:G2"/>
    <mergeCell ref="I2:K2"/>
    <mergeCell ref="L2:M2"/>
  </mergeCells>
  <conditionalFormatting sqref="A18:G126 I18:R127">
    <cfRule type="expression" dxfId="203" priority="1">
      <formula>$Q18=10</formula>
    </cfRule>
    <cfRule type="expression" dxfId="202" priority="3">
      <formula>AND(CELL("Protect",A18)=0,ISODD(CELL("Row",A18)))</formula>
    </cfRule>
    <cfRule type="expression" dxfId="201" priority="4">
      <formula>AND(CELL("Protect",A18)=0,ISEVEN(CELL("Row",A18)))</formula>
    </cfRule>
    <cfRule type="expression" dxfId="200" priority="5">
      <formula>$Q18=0</formula>
    </cfRule>
    <cfRule type="expression" dxfId="199" priority="6">
      <formula>ISNUMBER(SEARCH("Subtotal",$I18))</formula>
    </cfRule>
  </conditionalFormatting>
  <conditionalFormatting sqref="A18:G126">
    <cfRule type="expression" dxfId="198" priority="7">
      <formula>ISODD(CELL("row",A18))</formula>
    </cfRule>
    <cfRule type="expression" dxfId="197" priority="8">
      <formula>ISEVEN(CELL("row",A18))</formula>
    </cfRule>
  </conditionalFormatting>
  <conditionalFormatting sqref="R118:R127 A39:G126 I116:I126 J115:L126 M116:N126 O115:O127 I39:R117 L126:O126">
    <cfRule type="expression" dxfId="196" priority="2">
      <formula>LEN($R39)&lt;=3</formula>
    </cfRule>
  </conditionalFormatting>
  <dataValidations count="1">
    <dataValidation type="decimal" operator="greaterThanOrEqual" allowBlank="1" showInputMessage="1" showErrorMessage="1" errorTitle="Numbers only" error="Please enter numbers only." sqref="M19:N39 M41:N61 M63:N83 M85:N105 M107:N126 O49 O60 O71 O82 O93 O104 O115 O126 L49 L60 L71 L82 L93 L104 L115 L126">
      <formula1>0</formula1>
    </dataValidation>
  </dataValidations>
  <pageMargins left="0.7" right="0.7" top="0.75" bottom="0.75" header="0.3" footer="0.3"/>
  <pageSetup paperSize="9" orientation="portrait"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6"/>
  <sheetViews>
    <sheetView showZeros="0" zoomScaleNormal="100" workbookViewId="0">
      <selection activeCell="N19" sqref="N19"/>
    </sheetView>
  </sheetViews>
  <sheetFormatPr defaultRowHeight="15" x14ac:dyDescent="0.25"/>
  <cols>
    <col min="1" max="1" width="29.5703125" customWidth="1"/>
    <col min="2" max="7" width="9.85546875" customWidth="1"/>
    <col min="8" max="8" width="1.7109375" customWidth="1"/>
    <col min="9" max="9" width="29.5703125" customWidth="1"/>
    <col min="10" max="15" width="9.85546875" customWidth="1"/>
    <col min="16" max="18" width="13.5703125" hidden="1" customWidth="1"/>
    <col min="19" max="19" width="1.7109375" customWidth="1"/>
  </cols>
  <sheetData>
    <row r="1" spans="1:18" ht="26.25" thickBot="1" x14ac:dyDescent="0.3">
      <c r="A1" s="182" t="s">
        <v>387</v>
      </c>
      <c r="B1" s="183"/>
      <c r="C1" s="73" t="s">
        <v>447</v>
      </c>
      <c r="D1" s="191" t="s">
        <v>400</v>
      </c>
      <c r="E1" s="192"/>
      <c r="F1" s="192"/>
      <c r="G1" s="192"/>
      <c r="H1" s="74"/>
      <c r="I1" s="182" t="s">
        <v>473</v>
      </c>
      <c r="J1" s="182"/>
      <c r="K1" s="183"/>
      <c r="L1" s="207" t="s">
        <v>387</v>
      </c>
      <c r="M1" s="207"/>
      <c r="N1" s="73" t="s">
        <v>447</v>
      </c>
      <c r="O1" s="146" t="s">
        <v>495</v>
      </c>
      <c r="P1" s="60"/>
      <c r="Q1" s="60"/>
      <c r="R1" s="60"/>
    </row>
    <row r="2" spans="1:18" ht="25.5" customHeight="1" x14ac:dyDescent="0.25">
      <c r="A2" s="187">
        <f>spsRefNo</f>
        <v>0</v>
      </c>
      <c r="B2" s="188"/>
      <c r="C2" s="75">
        <f>approvedBudget</f>
        <v>0</v>
      </c>
      <c r="D2" s="189">
        <f>projectTitle</f>
        <v>0</v>
      </c>
      <c r="E2" s="190"/>
      <c r="F2" s="190"/>
      <c r="G2" s="190"/>
      <c r="H2" s="60"/>
      <c r="I2" s="193">
        <f>shortTitle</f>
        <v>0</v>
      </c>
      <c r="J2" s="193"/>
      <c r="K2" s="194"/>
      <c r="L2" s="208">
        <f>spsRefNo</f>
        <v>0</v>
      </c>
      <c r="M2" s="208"/>
      <c r="N2" s="75">
        <f>approvedBudget</f>
        <v>0</v>
      </c>
      <c r="O2" s="75">
        <f ca="1">(1.1*budgetMilestone4Overall[[#Totals],[Final]])-AccountBalance</f>
        <v>0</v>
      </c>
      <c r="P2" s="60"/>
      <c r="Q2" s="60"/>
      <c r="R2" s="60"/>
    </row>
    <row r="4" spans="1:18" ht="26.25" customHeight="1" x14ac:dyDescent="0.25">
      <c r="A4" s="186" t="s">
        <v>477</v>
      </c>
      <c r="B4" s="186"/>
      <c r="C4" s="186"/>
      <c r="D4" s="186"/>
      <c r="E4" s="186"/>
      <c r="F4" s="186"/>
      <c r="G4" s="186"/>
      <c r="H4" s="60"/>
      <c r="I4" s="186" t="s">
        <v>487</v>
      </c>
      <c r="J4" s="186"/>
      <c r="K4" s="186"/>
      <c r="L4" s="186"/>
      <c r="M4" s="186"/>
      <c r="N4" s="186"/>
      <c r="O4" s="186"/>
      <c r="P4" s="60"/>
      <c r="Q4" s="60"/>
      <c r="R4" s="60"/>
    </row>
    <row r="6" spans="1:18" ht="26.25" thickBot="1" x14ac:dyDescent="0.3">
      <c r="A6" s="106" t="str">
        <f t="array" ref="A6:G126" ca="1">OFFSET(budgetMilestone3Overall[[#Headers],[Category]],0,0,121,7)</f>
        <v>Category</v>
      </c>
      <c r="B6" s="106" t="str">
        <f ca="1"/>
        <v>Milestone 1</v>
      </c>
      <c r="C6" s="106" t="str">
        <f ca="1"/>
        <v>Milestone 2</v>
      </c>
      <c r="D6" s="106" t="str">
        <f ca="1"/>
        <v>Milestone 3</v>
      </c>
      <c r="E6" s="106" t="str">
        <f ca="1"/>
        <v>Milestone 4</v>
      </c>
      <c r="F6" s="106" t="str">
        <f ca="1"/>
        <v>Final</v>
      </c>
      <c r="G6" s="107" t="str">
        <f ca="1"/>
        <v>Total</v>
      </c>
      <c r="H6" s="60"/>
      <c r="I6" s="62" t="s">
        <v>395</v>
      </c>
      <c r="J6" s="72" t="s">
        <v>407</v>
      </c>
      <c r="K6" s="72" t="s">
        <v>408</v>
      </c>
      <c r="L6" s="72" t="s">
        <v>409</v>
      </c>
      <c r="M6" s="72" t="s">
        <v>485</v>
      </c>
      <c r="N6" s="62" t="s">
        <v>410</v>
      </c>
      <c r="O6" s="62" t="s">
        <v>403</v>
      </c>
      <c r="P6" s="62"/>
      <c r="Q6" s="62"/>
      <c r="R6" s="62"/>
    </row>
    <row r="7" spans="1:18" ht="15" customHeight="1" thickTop="1" x14ac:dyDescent="0.25">
      <c r="A7" s="108" t="str">
        <f ca="1"/>
        <v>Equipment</v>
      </c>
      <c r="B7" s="108">
        <f ca="1"/>
        <v>0</v>
      </c>
      <c r="C7" s="108">
        <f ca="1"/>
        <v>0</v>
      </c>
      <c r="D7" s="108">
        <f ca="1"/>
        <v>0</v>
      </c>
      <c r="E7" s="108">
        <f ca="1"/>
        <v>0</v>
      </c>
      <c r="F7" s="108">
        <f ca="1"/>
        <v>0</v>
      </c>
      <c r="G7" s="109">
        <f ca="1"/>
        <v>0</v>
      </c>
      <c r="H7" s="60"/>
      <c r="I7" s="60" t="str">
        <f>INDEX(categories[Expense Categories],ROW()-ROW(budgetMilestone4Overall[#Headers]))</f>
        <v>Equipment</v>
      </c>
      <c r="J7" s="60">
        <f>SUMIFS(budgetMilestone4[Milestone 1],budgetMilestone4[Category],budgetMilestone4Overall[[#This Row],[Category]],budgetMilestone4[director], "&lt;&gt;1")</f>
        <v>0</v>
      </c>
      <c r="K7" s="60">
        <f>SUMIFS(budgetMilestone4[Milestone 2],budgetMilestone4[Category],budgetMilestone4Overall[[#This Row],[Category]],budgetMilestone4[director], "&lt;&gt;1")</f>
        <v>0</v>
      </c>
      <c r="L7" s="60">
        <f>SUMIFS(budgetMilestone4[Milestone 3],budgetMilestone4[Category],budgetMilestone4Overall[[#This Row],[Category]],budgetMilestone4[director], "&lt;&gt;1")</f>
        <v>0</v>
      </c>
      <c r="M7" s="60">
        <f>SUMIFS(budgetMilestone4[Milestone 4],budgetMilestone4[Category],budgetMilestone4Overall[[#This Row],[Category]],budgetMilestone4[director], "&lt;&gt;1")</f>
        <v>0</v>
      </c>
      <c r="N7" s="60">
        <f ca="1">SUMIFS(budgetMilestone4[Final],budgetMilestone4[Category],budgetMilestone4Overall[[#This Row],[Category]],budgetMilestone4[director], "&lt;&gt;1")</f>
        <v>0</v>
      </c>
      <c r="O7" s="60">
        <f ca="1">SUM(budgetMilestone4Overall[[#This Row],[Milestone 1]:[Final]])</f>
        <v>0</v>
      </c>
      <c r="P7" s="60"/>
      <c r="Q7" s="60"/>
      <c r="R7" s="60"/>
    </row>
    <row r="8" spans="1:18" ht="15" customHeight="1" x14ac:dyDescent="0.25">
      <c r="A8" s="110" t="str">
        <f ca="1"/>
        <v>Training</v>
      </c>
      <c r="B8" s="110">
        <f ca="1"/>
        <v>0</v>
      </c>
      <c r="C8" s="110">
        <f ca="1"/>
        <v>0</v>
      </c>
      <c r="D8" s="110">
        <f ca="1"/>
        <v>0</v>
      </c>
      <c r="E8" s="110">
        <f ca="1"/>
        <v>0</v>
      </c>
      <c r="F8" s="110">
        <f ca="1"/>
        <v>0</v>
      </c>
      <c r="G8" s="111">
        <f ca="1"/>
        <v>0</v>
      </c>
      <c r="H8" s="60"/>
      <c r="I8" s="60" t="str">
        <f>INDEX(categories[Expense Categories],ROW()-ROW(budgetMilestone4Overall[#Headers]))</f>
        <v>Training</v>
      </c>
      <c r="J8" s="60">
        <f>SUMIFS(budgetMilestone4[Milestone 1],budgetMilestone4[Category],budgetMilestone4Overall[[#This Row],[Category]],budgetMilestone4[director], "&lt;&gt;1")</f>
        <v>0</v>
      </c>
      <c r="K8" s="60">
        <f>SUMIFS(budgetMilestone4[Milestone 2],budgetMilestone4[Category],budgetMilestone4Overall[[#This Row],[Category]],budgetMilestone4[director], "&lt;&gt;1")</f>
        <v>0</v>
      </c>
      <c r="L8" s="60">
        <f>SUMIFS(budgetMilestone4[Milestone 3],budgetMilestone4[Category],budgetMilestone4Overall[[#This Row],[Category]],budgetMilestone4[director], "&lt;&gt;1")</f>
        <v>0</v>
      </c>
      <c r="M8" s="60">
        <f>SUMIFS(budgetMilestone4[Milestone 4],budgetMilestone4[Category],budgetMilestone4Overall[[#This Row],[Category]],budgetMilestone4[director], "&lt;&gt;1")</f>
        <v>0</v>
      </c>
      <c r="N8" s="60">
        <f ca="1">SUMIFS(budgetMilestone4[Final],budgetMilestone4[Category],budgetMilestone4Overall[[#This Row],[Category]],budgetMilestone4[director], "&lt;&gt;1")</f>
        <v>0</v>
      </c>
      <c r="O8" s="60">
        <f ca="1">SUM(budgetMilestone4Overall[[#This Row],[Milestone 1]:[Final]])</f>
        <v>0</v>
      </c>
      <c r="P8" s="60"/>
      <c r="Q8" s="60"/>
      <c r="R8" s="60"/>
    </row>
    <row r="9" spans="1:18" ht="15" customHeight="1" x14ac:dyDescent="0.25">
      <c r="A9" s="108" t="str">
        <f ca="1"/>
        <v>Communication &amp; Publication</v>
      </c>
      <c r="B9" s="108">
        <f ca="1"/>
        <v>0</v>
      </c>
      <c r="C9" s="108">
        <f ca="1"/>
        <v>0</v>
      </c>
      <c r="D9" s="108">
        <f ca="1"/>
        <v>0</v>
      </c>
      <c r="E9" s="108">
        <f ca="1"/>
        <v>0</v>
      </c>
      <c r="F9" s="108">
        <f ca="1"/>
        <v>0</v>
      </c>
      <c r="G9" s="109">
        <f ca="1"/>
        <v>0</v>
      </c>
      <c r="H9" s="60"/>
      <c r="I9" s="60" t="str">
        <f>INDEX(categories[Expense Categories],ROW()-ROW(budgetMilestone4Overall[#Headers]))</f>
        <v>Communication &amp; Publication</v>
      </c>
      <c r="J9" s="60">
        <f>SUMIFS(budgetMilestone4[Milestone 1],budgetMilestone4[Category],budgetMilestone4Overall[[#This Row],[Category]],budgetMilestone4[director], "&lt;&gt;1")</f>
        <v>0</v>
      </c>
      <c r="K9" s="60">
        <f>SUMIFS(budgetMilestone4[Milestone 2],budgetMilestone4[Category],budgetMilestone4Overall[[#This Row],[Category]],budgetMilestone4[director], "&lt;&gt;1")</f>
        <v>0</v>
      </c>
      <c r="L9" s="60">
        <f>SUMIFS(budgetMilestone4[Milestone 3],budgetMilestone4[Category],budgetMilestone4Overall[[#This Row],[Category]],budgetMilestone4[director], "&lt;&gt;1")</f>
        <v>0</v>
      </c>
      <c r="M9" s="60">
        <f>SUMIFS(budgetMilestone4[Milestone 4],budgetMilestone4[Category],budgetMilestone4Overall[[#This Row],[Category]],budgetMilestone4[director], "&lt;&gt;1")</f>
        <v>0</v>
      </c>
      <c r="N9" s="60">
        <f ca="1">SUMIFS(budgetMilestone4[Final],budgetMilestone4[Category],budgetMilestone4Overall[[#This Row],[Category]],budgetMilestone4[director], "&lt;&gt;1")</f>
        <v>0</v>
      </c>
      <c r="O9" s="60">
        <f ca="1">SUM(budgetMilestone4Overall[[#This Row],[Milestone 1]:[Final]])</f>
        <v>0</v>
      </c>
      <c r="P9" s="60"/>
      <c r="Q9" s="60"/>
      <c r="R9" s="60"/>
    </row>
    <row r="10" spans="1:18" ht="15" customHeight="1" x14ac:dyDescent="0.25">
      <c r="A10" s="110" t="str">
        <f ca="1"/>
        <v>Travel</v>
      </c>
      <c r="B10" s="110">
        <f ca="1"/>
        <v>0</v>
      </c>
      <c r="C10" s="110">
        <f ca="1"/>
        <v>0</v>
      </c>
      <c r="D10" s="110">
        <f ca="1"/>
        <v>0</v>
      </c>
      <c r="E10" s="110">
        <f ca="1"/>
        <v>0</v>
      </c>
      <c r="F10" s="110">
        <f ca="1"/>
        <v>0</v>
      </c>
      <c r="G10" s="111">
        <f ca="1"/>
        <v>0</v>
      </c>
      <c r="H10" s="60"/>
      <c r="I10" s="60" t="str">
        <f>INDEX(categories[Expense Categories],ROW()-ROW(budgetMilestone4Overall[#Headers]))</f>
        <v>Travel</v>
      </c>
      <c r="J10" s="60">
        <f>SUMIFS(budgetMilestone4[Milestone 1],budgetMilestone4[Category],budgetMilestone4Overall[[#This Row],[Category]],budgetMilestone4[director], "&lt;&gt;1")</f>
        <v>0</v>
      </c>
      <c r="K10" s="60">
        <f>SUMIFS(budgetMilestone4[Milestone 2],budgetMilestone4[Category],budgetMilestone4Overall[[#This Row],[Category]],budgetMilestone4[director], "&lt;&gt;1")</f>
        <v>0</v>
      </c>
      <c r="L10" s="60">
        <f>SUMIFS(budgetMilestone4[Milestone 3],budgetMilestone4[Category],budgetMilestone4Overall[[#This Row],[Category]],budgetMilestone4[director], "&lt;&gt;1")</f>
        <v>0</v>
      </c>
      <c r="M10" s="60">
        <f>SUMIFS(budgetMilestone4[Milestone 4],budgetMilestone4[Category],budgetMilestone4Overall[[#This Row],[Category]],budgetMilestone4[director], "&lt;&gt;1")</f>
        <v>0</v>
      </c>
      <c r="N10" s="60">
        <f ca="1">SUMIFS(budgetMilestone4[Final],budgetMilestone4[Category],budgetMilestone4Overall[[#This Row],[Category]],budgetMilestone4[director], "&lt;&gt;1")</f>
        <v>0</v>
      </c>
      <c r="O10" s="60">
        <f ca="1">SUM(budgetMilestone4Overall[[#This Row],[Milestone 1]:[Final]])</f>
        <v>0</v>
      </c>
      <c r="P10" s="60"/>
      <c r="Q10" s="60"/>
      <c r="R10" s="60"/>
    </row>
    <row r="11" spans="1:18" ht="15" customHeight="1" x14ac:dyDescent="0.25">
      <c r="A11" s="108" t="str">
        <f ca="1"/>
        <v>Consumables</v>
      </c>
      <c r="B11" s="108">
        <f ca="1"/>
        <v>0</v>
      </c>
      <c r="C11" s="108">
        <f ca="1"/>
        <v>0</v>
      </c>
      <c r="D11" s="108">
        <f ca="1"/>
        <v>0</v>
      </c>
      <c r="E11" s="108">
        <f ca="1"/>
        <v>0</v>
      </c>
      <c r="F11" s="108">
        <f ca="1"/>
        <v>0</v>
      </c>
      <c r="G11" s="109">
        <f ca="1"/>
        <v>0</v>
      </c>
      <c r="H11" s="60"/>
      <c r="I11" s="60" t="str">
        <f>INDEX(categories[Expense Categories],ROW()-ROW(budgetMilestone4Overall[#Headers]))</f>
        <v>Consumables</v>
      </c>
      <c r="J11" s="60">
        <f>SUMIFS(budgetMilestone4[Milestone 1],budgetMilestone4[Category],budgetMilestone4Overall[[#This Row],[Category]],budgetMilestone4[director], "&lt;&gt;1")</f>
        <v>0</v>
      </c>
      <c r="K11" s="60">
        <f>SUMIFS(budgetMilestone4[Milestone 2],budgetMilestone4[Category],budgetMilestone4Overall[[#This Row],[Category]],budgetMilestone4[director], "&lt;&gt;1")</f>
        <v>0</v>
      </c>
      <c r="L11" s="60">
        <f>SUMIFS(budgetMilestone4[Milestone 3],budgetMilestone4[Category],budgetMilestone4Overall[[#This Row],[Category]],budgetMilestone4[director], "&lt;&gt;1")</f>
        <v>0</v>
      </c>
      <c r="M11" s="60">
        <f>SUMIFS(budgetMilestone4[Milestone 4],budgetMilestone4[Category],budgetMilestone4Overall[[#This Row],[Category]],budgetMilestone4[director], "&lt;&gt;1")</f>
        <v>0</v>
      </c>
      <c r="N11" s="60">
        <f ca="1">SUMIFS(budgetMilestone4[Final],budgetMilestone4[Category],budgetMilestone4Overall[[#This Row],[Category]],budgetMilestone4[director], "&lt;&gt;1")</f>
        <v>0</v>
      </c>
      <c r="O11" s="60">
        <f ca="1">SUM(budgetMilestone4Overall[[#This Row],[Milestone 1]:[Final]])</f>
        <v>0</v>
      </c>
      <c r="P11" s="60"/>
      <c r="Q11" s="60"/>
      <c r="R11" s="60"/>
    </row>
    <row r="12" spans="1:18" ht="15" customHeight="1" x14ac:dyDescent="0.25">
      <c r="A12" s="110" t="str">
        <f ca="1"/>
        <v>Other</v>
      </c>
      <c r="B12" s="110">
        <f ca="1"/>
        <v>0</v>
      </c>
      <c r="C12" s="110">
        <f ca="1"/>
        <v>0</v>
      </c>
      <c r="D12" s="110">
        <f ca="1"/>
        <v>0</v>
      </c>
      <c r="E12" s="110">
        <f ca="1"/>
        <v>0</v>
      </c>
      <c r="F12" s="110">
        <f ca="1"/>
        <v>0</v>
      </c>
      <c r="G12" s="111">
        <f ca="1"/>
        <v>0</v>
      </c>
      <c r="H12" s="60"/>
      <c r="I12" s="60" t="str">
        <f>INDEX(categories[Expense Categories],ROW()-ROW(budgetMilestone4Overall[#Headers]))</f>
        <v>Other</v>
      </c>
      <c r="J12" s="60">
        <f>SUMIFS(budgetMilestone4[Milestone 1],budgetMilestone4[Category],budgetMilestone4Overall[[#This Row],[Category]],budgetMilestone4[director], "&lt;&gt;1")</f>
        <v>0</v>
      </c>
      <c r="K12" s="60">
        <f>SUMIFS(budgetMilestone4[Milestone 2],budgetMilestone4[Category],budgetMilestone4Overall[[#This Row],[Category]],budgetMilestone4[director], "&lt;&gt;1")</f>
        <v>0</v>
      </c>
      <c r="L12" s="60">
        <f>SUMIFS(budgetMilestone4[Milestone 3],budgetMilestone4[Category],budgetMilestone4Overall[[#This Row],[Category]],budgetMilestone4[director], "&lt;&gt;1")</f>
        <v>0</v>
      </c>
      <c r="M12" s="60">
        <f>SUMIFS(budgetMilestone4[Milestone 4],budgetMilestone4[Category],budgetMilestone4Overall[[#This Row],[Category]],budgetMilestone4[director], "&lt;&gt;1")</f>
        <v>0</v>
      </c>
      <c r="N12" s="60">
        <f ca="1">SUMIFS(budgetMilestone4[Final],budgetMilestone4[Category],budgetMilestone4Overall[[#This Row],[Category]],budgetMilestone4[director], "&lt;&gt;1")</f>
        <v>0</v>
      </c>
      <c r="O12" s="60">
        <f ca="1">SUM(budgetMilestone4Overall[[#This Row],[Milestone 1]:[Final]])</f>
        <v>0</v>
      </c>
      <c r="P12" s="60"/>
      <c r="Q12" s="60"/>
      <c r="R12" s="60"/>
    </row>
    <row r="13" spans="1:18" ht="15" customHeight="1" x14ac:dyDescent="0.25">
      <c r="A13" s="108" t="str">
        <f ca="1"/>
        <v>Stipends</v>
      </c>
      <c r="B13" s="108">
        <f ca="1"/>
        <v>0</v>
      </c>
      <c r="C13" s="108">
        <f ca="1"/>
        <v>0</v>
      </c>
      <c r="D13" s="108">
        <f ca="1"/>
        <v>0</v>
      </c>
      <c r="E13" s="108">
        <f ca="1"/>
        <v>0</v>
      </c>
      <c r="F13" s="108">
        <f ca="1"/>
        <v>0</v>
      </c>
      <c r="G13" s="109">
        <f ca="1"/>
        <v>0</v>
      </c>
      <c r="H13" s="60"/>
      <c r="I13" s="60" t="str">
        <f>INDEX(categories[Expense Categories],ROW()-ROW(budgetMilestone4Overall[#Headers]))</f>
        <v>Stipends</v>
      </c>
      <c r="J13" s="60">
        <f>SUMIFS(budgetMilestone4[Milestone 1],budgetMilestone4[Category],budgetMilestone4Overall[[#This Row],[Category]],budgetMilestone4[director], "&lt;&gt;1")</f>
        <v>0</v>
      </c>
      <c r="K13" s="60">
        <f>SUMIFS(budgetMilestone4[Milestone 2],budgetMilestone4[Category],budgetMilestone4Overall[[#This Row],[Category]],budgetMilestone4[director], "&lt;&gt;1")</f>
        <v>0</v>
      </c>
      <c r="L13" s="60">
        <f>SUMIFS(budgetMilestone4[Milestone 3],budgetMilestone4[Category],budgetMilestone4Overall[[#This Row],[Category]],budgetMilestone4[director], "&lt;&gt;1")</f>
        <v>0</v>
      </c>
      <c r="M13" s="60">
        <f>SUMIFS(budgetMilestone4[Milestone 4],budgetMilestone4[Category],budgetMilestone4Overall[[#This Row],[Category]],budgetMilestone4[director], "&lt;&gt;1")</f>
        <v>0</v>
      </c>
      <c r="N13" s="60">
        <f ca="1">SUMIFS(budgetMilestone4[Final],budgetMilestone4[Category],budgetMilestone4Overall[[#This Row],[Category]],budgetMilestone4[director], "&lt;&gt;1")</f>
        <v>0</v>
      </c>
      <c r="O13" s="60">
        <f ca="1">SUM(budgetMilestone4Overall[[#This Row],[Milestone 1]:[Final]])</f>
        <v>0</v>
      </c>
      <c r="P13" s="60"/>
      <c r="Q13" s="60"/>
      <c r="R13" s="60"/>
    </row>
    <row r="14" spans="1:18" ht="15" customHeight="1" thickBot="1" x14ac:dyDescent="0.3">
      <c r="A14" s="112" t="str">
        <f ca="1"/>
        <v>Co-financing of personnel</v>
      </c>
      <c r="B14" s="112">
        <f ca="1"/>
        <v>0</v>
      </c>
      <c r="C14" s="112">
        <f ca="1"/>
        <v>0</v>
      </c>
      <c r="D14" s="112">
        <f ca="1"/>
        <v>0</v>
      </c>
      <c r="E14" s="112">
        <f ca="1"/>
        <v>0</v>
      </c>
      <c r="F14" s="112">
        <f ca="1"/>
        <v>0</v>
      </c>
      <c r="G14" s="113">
        <f ca="1"/>
        <v>0</v>
      </c>
      <c r="H14" s="60"/>
      <c r="I14" s="60" t="str">
        <f>INDEX(categories[Expense Categories],ROW()-ROW(budgetMilestone4Overall[#Headers]))</f>
        <v>Co-financing of personnel</v>
      </c>
      <c r="J14" s="60">
        <f>SUMIFS(budgetMilestone4[Milestone 1],budgetMilestone4[Category],budgetMilestone4Overall[[#This Row],[Category]],budgetMilestone4[director], "&lt;&gt;1")</f>
        <v>0</v>
      </c>
      <c r="K14" s="60">
        <f>SUMIFS(budgetMilestone4[Milestone 2],budgetMilestone4[Category],budgetMilestone4Overall[[#This Row],[Category]],budgetMilestone4[director], "&lt;&gt;1")</f>
        <v>0</v>
      </c>
      <c r="L14" s="60">
        <f>SUMIFS(budgetMilestone4[Milestone 3],budgetMilestone4[Category],budgetMilestone4Overall[[#This Row],[Category]],budgetMilestone4[director], "&lt;&gt;1")</f>
        <v>0</v>
      </c>
      <c r="M14" s="60">
        <f>SUMIFS(budgetMilestone4[Milestone 4],budgetMilestone4[Category],budgetMilestone4Overall[[#This Row],[Category]],budgetMilestone4[director], "&lt;&gt;1")</f>
        <v>0</v>
      </c>
      <c r="N14" s="60">
        <f ca="1">SUMIFS(budgetMilestone4[Final],budgetMilestone4[Category],budgetMilestone4Overall[[#This Row],[Category]],budgetMilestone4[director], "&lt;&gt;1")</f>
        <v>0</v>
      </c>
      <c r="O14" s="60">
        <f ca="1">SUM(budgetMilestone4Overall[[#This Row],[Milestone 1]:[Final]])</f>
        <v>0</v>
      </c>
      <c r="P14" s="60"/>
      <c r="Q14" s="60"/>
      <c r="R14" s="60"/>
    </row>
    <row r="15" spans="1:18" ht="15" customHeight="1" thickTop="1" x14ac:dyDescent="0.25">
      <c r="A15" s="114" t="str">
        <f ca="1"/>
        <v>Total</v>
      </c>
      <c r="B15" s="114">
        <f ca="1"/>
        <v>0</v>
      </c>
      <c r="C15" s="114">
        <f ca="1"/>
        <v>0</v>
      </c>
      <c r="D15" s="114">
        <f ca="1"/>
        <v>0</v>
      </c>
      <c r="E15" s="114">
        <f ca="1"/>
        <v>0</v>
      </c>
      <c r="F15" s="114">
        <f ca="1"/>
        <v>0</v>
      </c>
      <c r="G15" s="115">
        <f ca="1"/>
        <v>0</v>
      </c>
      <c r="H15" s="60"/>
      <c r="I15" s="179" t="s">
        <v>403</v>
      </c>
      <c r="J15" s="179">
        <f>SUBTOTAL(109,budgetMilestone4Overall[Milestone 1])</f>
        <v>0</v>
      </c>
      <c r="K15" s="179">
        <f>SUBTOTAL(109,budgetMilestone4Overall[Milestone 2])</f>
        <v>0</v>
      </c>
      <c r="L15" s="179">
        <f>SUBTOTAL(109,budgetMilestone4Overall[Milestone 3])</f>
        <v>0</v>
      </c>
      <c r="M15" s="179">
        <f>SUBTOTAL(109,budgetMilestone4Overall[Milestone 4])</f>
        <v>0</v>
      </c>
      <c r="N15" s="179">
        <f ca="1">SUBTOTAL(109,budgetMilestone4Overall[Final])</f>
        <v>0</v>
      </c>
      <c r="O15" s="179">
        <f ca="1">SUBTOTAL(109,budgetMilestone4Overall[Total])</f>
        <v>0</v>
      </c>
      <c r="P15" s="47"/>
      <c r="Q15" s="47"/>
      <c r="R15" s="47"/>
    </row>
    <row r="16" spans="1:18" ht="15" customHeight="1" x14ac:dyDescent="0.25">
      <c r="A16" s="60">
        <f ca="1"/>
        <v>0</v>
      </c>
      <c r="B16" s="60">
        <f ca="1"/>
        <v>0</v>
      </c>
      <c r="C16" s="60">
        <f ca="1"/>
        <v>0</v>
      </c>
      <c r="D16" s="60">
        <f ca="1"/>
        <v>0</v>
      </c>
      <c r="E16" s="60">
        <f ca="1"/>
        <v>0</v>
      </c>
      <c r="F16" s="60">
        <f ca="1"/>
        <v>0</v>
      </c>
      <c r="G16" s="60">
        <f ca="1"/>
        <v>0</v>
      </c>
      <c r="H16" s="60"/>
      <c r="I16" s="60"/>
      <c r="J16" s="60"/>
      <c r="K16" s="60"/>
      <c r="L16" s="60"/>
      <c r="M16" s="60"/>
      <c r="N16" s="60"/>
      <c r="O16" s="60"/>
      <c r="P16" s="60"/>
      <c r="Q16" s="60"/>
      <c r="R16" s="60"/>
    </row>
    <row r="17" spans="1:18" ht="26.25" thickBot="1" x14ac:dyDescent="0.3">
      <c r="A17" s="106" t="str">
        <f ca="1"/>
        <v>Category</v>
      </c>
      <c r="B17" s="106" t="str">
        <f ca="1"/>
        <v>Milestone 1</v>
      </c>
      <c r="C17" s="106" t="str">
        <f ca="1"/>
        <v>Milestone 2</v>
      </c>
      <c r="D17" s="106" t="str">
        <f ca="1"/>
        <v>Milestone 3</v>
      </c>
      <c r="E17" s="106" t="str">
        <f ca="1"/>
        <v>Milestone 4</v>
      </c>
      <c r="F17" s="106" t="str">
        <f ca="1"/>
        <v>Final</v>
      </c>
      <c r="G17" s="106" t="str">
        <f ca="1"/>
        <v>Total</v>
      </c>
      <c r="H17" s="60"/>
      <c r="I17" s="62" t="s">
        <v>395</v>
      </c>
      <c r="J17" s="72" t="s">
        <v>407</v>
      </c>
      <c r="K17" s="72" t="s">
        <v>408</v>
      </c>
      <c r="L17" s="72" t="s">
        <v>409</v>
      </c>
      <c r="M17" s="72" t="s">
        <v>485</v>
      </c>
      <c r="N17" s="62" t="s">
        <v>410</v>
      </c>
      <c r="O17" s="81" t="s">
        <v>403</v>
      </c>
      <c r="P17" s="62" t="s">
        <v>427</v>
      </c>
      <c r="Q17" s="62" t="s">
        <v>428</v>
      </c>
      <c r="R17" s="62" t="s">
        <v>429</v>
      </c>
    </row>
    <row r="18" spans="1:18" ht="15" customHeight="1" thickTop="1" x14ac:dyDescent="0.25">
      <c r="A18" s="105" t="str">
        <f ca="1"/>
        <v xml:space="preserve">0 / </v>
      </c>
      <c r="B18" s="105">
        <f ca="1"/>
        <v>0</v>
      </c>
      <c r="C18" s="105">
        <f ca="1"/>
        <v>0</v>
      </c>
      <c r="D18" s="105">
        <f ca="1"/>
        <v>0</v>
      </c>
      <c r="E18" s="105">
        <f ca="1"/>
        <v>0</v>
      </c>
      <c r="F18" s="105">
        <f ca="1"/>
        <v>0</v>
      </c>
      <c r="G18" s="105">
        <f ca="1"/>
        <v>0</v>
      </c>
      <c r="H18" s="60"/>
      <c r="I18"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xml:space="preserve">0 / </v>
      </c>
      <c r="J18" s="60"/>
      <c r="K18" s="60"/>
      <c r="L18" s="60"/>
      <c r="M18" s="60"/>
      <c r="N18" s="60"/>
      <c r="O18" s="60"/>
      <c r="P18" s="60">
        <f>ROW()-ROW(budgetMilestone4[#Headers])</f>
        <v>1</v>
      </c>
      <c r="Q18" s="60">
        <f>IF(budgetMilestone4[row] &lt;= numCategories +3, budgetMilestone4[row]-1, MOD(budgetMilestone4[row]-1,numCategories+3) + IF(MOD(budgetMilestone4[row]-2,numCategories+2)&gt;numCategories+1, 1,0))</f>
        <v>0</v>
      </c>
      <c r="R18" s="60">
        <f>IFERROR(INDEX(directors[Last],MAX(1,FLOOR((budgetMilestone4[row]-1)/(numCategories+3)+1,1))),1)</f>
        <v>0</v>
      </c>
    </row>
    <row r="19" spans="1:18" ht="15" customHeight="1" x14ac:dyDescent="0.25">
      <c r="A19" s="105" t="str">
        <f ca="1"/>
        <v>Equipment</v>
      </c>
      <c r="B19" s="105">
        <f ca="1"/>
        <v>0</v>
      </c>
      <c r="C19" s="105">
        <f ca="1"/>
        <v>0</v>
      </c>
      <c r="D19" s="105">
        <f ca="1"/>
        <v>0</v>
      </c>
      <c r="E19" s="105">
        <f ca="1"/>
        <v>0</v>
      </c>
      <c r="F19" s="105">
        <f ca="1"/>
        <v>0</v>
      </c>
      <c r="G19" s="105">
        <f ca="1"/>
        <v>0</v>
      </c>
      <c r="H19" s="60"/>
      <c r="I19"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Equipment</v>
      </c>
      <c r="J19" s="60">
        <f>budgetMilestone1[[#This Row],[Milestone 1]]</f>
        <v>0</v>
      </c>
      <c r="K19" s="60">
        <f>budgetMilestone2[[#This Row],[Milestone 2]]</f>
        <v>0</v>
      </c>
      <c r="L19" s="60">
        <f>budgetMilestone3[[#This Row],[Milestone 3]]</f>
        <v>0</v>
      </c>
      <c r="M19" s="60">
        <f>SUMIFS(ARF[Amount in Euro], ARF[Co Director],budgetMilestone4[director], ARF[Category], budgetMilestone4[Category], ARF[Date], "&gt;" &amp; cleanDateMilestone3,ARF[Date], "&lt;=" &amp; cleanDateMilestone4)</f>
        <v>0</v>
      </c>
      <c r="N19" s="85">
        <f ca="1">'Milestone 4'!$F19</f>
        <v>0</v>
      </c>
      <c r="O19" s="60">
        <f ca="1">SUM(budgetMilestone4[[#This Row],[Milestone 1]:[Final]])</f>
        <v>0</v>
      </c>
      <c r="P19" s="60">
        <f>ROW()-ROW(budgetMilestone4[#Headers])</f>
        <v>2</v>
      </c>
      <c r="Q19" s="60">
        <f>IF(budgetMilestone4[row] &lt;= numCategories +3, budgetMilestone4[row]-1, MOD(budgetMilestone4[row]-1,numCategories+3) + IF(MOD(budgetMilestone4[row]-2,numCategories+2)&gt;numCategories+1, 1,0))</f>
        <v>1</v>
      </c>
      <c r="R19" s="60">
        <f>IFERROR(INDEX(directors[Last],MAX(1,FLOOR((budgetMilestone4[row]-1)/(numCategories+3)+1,1))),1)</f>
        <v>0</v>
      </c>
    </row>
    <row r="20" spans="1:18" ht="15" customHeight="1" x14ac:dyDescent="0.25">
      <c r="A20" s="105" t="str">
        <f ca="1"/>
        <v>Training</v>
      </c>
      <c r="B20" s="105">
        <f ca="1"/>
        <v>0</v>
      </c>
      <c r="C20" s="105">
        <f ca="1"/>
        <v>0</v>
      </c>
      <c r="D20" s="105">
        <f ca="1"/>
        <v>0</v>
      </c>
      <c r="E20" s="105">
        <f ca="1"/>
        <v>0</v>
      </c>
      <c r="F20" s="105">
        <f ca="1"/>
        <v>0</v>
      </c>
      <c r="G20" s="105">
        <f ca="1"/>
        <v>0</v>
      </c>
      <c r="H20" s="60"/>
      <c r="I20"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Training</v>
      </c>
      <c r="J20" s="60">
        <f>budgetMilestone1[[#This Row],[Milestone 1]]</f>
        <v>0</v>
      </c>
      <c r="K20" s="60">
        <f>budgetMilestone2[[#This Row],[Milestone 2]]</f>
        <v>0</v>
      </c>
      <c r="L20" s="60">
        <f>budgetMilestone3[[#This Row],[Milestone 3]]</f>
        <v>0</v>
      </c>
      <c r="M20" s="60">
        <f>SUMIFS(ARF[Amount in Euro], ARF[Co Director],budgetMilestone4[director], ARF[Category], budgetMilestone4[Category], ARF[Date], "&gt;" &amp; cleanDateMilestone3,ARF[Date], "&lt;=" &amp; cleanDateMilestone4)</f>
        <v>0</v>
      </c>
      <c r="N20" s="85">
        <f ca="1">'Milestone 4'!$F20</f>
        <v>0</v>
      </c>
      <c r="O20" s="60">
        <f ca="1">SUM(budgetMilestone4[[#This Row],[Milestone 1]:[Final]])</f>
        <v>0</v>
      </c>
      <c r="P20" s="60">
        <f>ROW()-ROW(budgetMilestone4[#Headers])</f>
        <v>3</v>
      </c>
      <c r="Q20" s="60">
        <f>IF(budgetMilestone4[row] &lt;= numCategories +3, budgetMilestone4[row]-1, MOD(budgetMilestone4[row]-1,numCategories+3) + IF(MOD(budgetMilestone4[row]-2,numCategories+2)&gt;numCategories+1, 1,0))</f>
        <v>2</v>
      </c>
      <c r="R20" s="60">
        <f>IFERROR(INDEX(directors[Last],MAX(1,FLOOR((budgetMilestone4[row]-1)/(numCategories+3)+1,1))),1)</f>
        <v>0</v>
      </c>
    </row>
    <row r="21" spans="1:18" ht="15" customHeight="1" x14ac:dyDescent="0.25">
      <c r="A21" s="105" t="str">
        <f ca="1"/>
        <v>Communication &amp; Publication</v>
      </c>
      <c r="B21" s="105">
        <f ca="1"/>
        <v>0</v>
      </c>
      <c r="C21" s="105">
        <f ca="1"/>
        <v>0</v>
      </c>
      <c r="D21" s="105">
        <f ca="1"/>
        <v>0</v>
      </c>
      <c r="E21" s="105">
        <f ca="1"/>
        <v>0</v>
      </c>
      <c r="F21" s="105">
        <f ca="1"/>
        <v>0</v>
      </c>
      <c r="G21" s="105">
        <f ca="1"/>
        <v>0</v>
      </c>
      <c r="H21" s="60"/>
      <c r="I21"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Communication &amp; Publication</v>
      </c>
      <c r="J21" s="60">
        <f>budgetMilestone1[[#This Row],[Milestone 1]]</f>
        <v>0</v>
      </c>
      <c r="K21" s="60">
        <f>budgetMilestone2[[#This Row],[Milestone 2]]</f>
        <v>0</v>
      </c>
      <c r="L21" s="60">
        <f>budgetMilestone3[[#This Row],[Milestone 3]]</f>
        <v>0</v>
      </c>
      <c r="M21" s="60">
        <f>SUMIFS(ARF[Amount in Euro], ARF[Co Director],budgetMilestone4[director], ARF[Category], budgetMilestone4[Category], ARF[Date], "&gt;" &amp; cleanDateMilestone3,ARF[Date], "&lt;=" &amp; cleanDateMilestone4)</f>
        <v>0</v>
      </c>
      <c r="N21" s="85">
        <f ca="1">'Milestone 4'!$F21</f>
        <v>0</v>
      </c>
      <c r="O21" s="60">
        <f ca="1">SUM(budgetMilestone4[[#This Row],[Milestone 1]:[Final]])</f>
        <v>0</v>
      </c>
      <c r="P21" s="60">
        <f>ROW()-ROW(budgetMilestone4[#Headers])</f>
        <v>4</v>
      </c>
      <c r="Q21" s="60">
        <f>IF(budgetMilestone4[row] &lt;= numCategories +3, budgetMilestone4[row]-1, MOD(budgetMilestone4[row]-1,numCategories+3) + IF(MOD(budgetMilestone4[row]-2,numCategories+2)&gt;numCategories+1, 1,0))</f>
        <v>3</v>
      </c>
      <c r="R21" s="60">
        <f>IFERROR(INDEX(directors[Last],MAX(1,FLOOR((budgetMilestone4[row]-1)/(numCategories+3)+1,1))),1)</f>
        <v>0</v>
      </c>
    </row>
    <row r="22" spans="1:18" ht="15" customHeight="1" x14ac:dyDescent="0.25">
      <c r="A22" s="105" t="str">
        <f ca="1"/>
        <v>Travel</v>
      </c>
      <c r="B22" s="105">
        <f ca="1"/>
        <v>0</v>
      </c>
      <c r="C22" s="105">
        <f ca="1"/>
        <v>0</v>
      </c>
      <c r="D22" s="105">
        <f ca="1"/>
        <v>0</v>
      </c>
      <c r="E22" s="105">
        <f ca="1"/>
        <v>0</v>
      </c>
      <c r="F22" s="105">
        <f ca="1"/>
        <v>0</v>
      </c>
      <c r="G22" s="105">
        <f ca="1"/>
        <v>0</v>
      </c>
      <c r="H22" s="60"/>
      <c r="I22"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Travel</v>
      </c>
      <c r="J22" s="60">
        <f>budgetMilestone1[[#This Row],[Milestone 1]]</f>
        <v>0</v>
      </c>
      <c r="K22" s="60">
        <f>budgetMilestone2[[#This Row],[Milestone 2]]</f>
        <v>0</v>
      </c>
      <c r="L22" s="60">
        <f>budgetMilestone3[[#This Row],[Milestone 3]]</f>
        <v>0</v>
      </c>
      <c r="M22" s="60">
        <f>SUMIFS(ARF[Amount in Euro], ARF[Co Director],budgetMilestone4[director], ARF[Category], budgetMilestone4[Category], ARF[Date], "&gt;" &amp; cleanDateMilestone3,ARF[Date], "&lt;=" &amp; cleanDateMilestone4)</f>
        <v>0</v>
      </c>
      <c r="N22" s="85">
        <f ca="1">'Milestone 4'!$F22</f>
        <v>0</v>
      </c>
      <c r="O22" s="60">
        <f ca="1">SUM(budgetMilestone4[[#This Row],[Milestone 1]:[Final]])</f>
        <v>0</v>
      </c>
      <c r="P22" s="60">
        <f>ROW()-ROW(budgetMilestone4[#Headers])</f>
        <v>5</v>
      </c>
      <c r="Q22" s="60">
        <f>IF(budgetMilestone4[row] &lt;= numCategories +3, budgetMilestone4[row]-1, MOD(budgetMilestone4[row]-1,numCategories+3) + IF(MOD(budgetMilestone4[row]-2,numCategories+2)&gt;numCategories+1, 1,0))</f>
        <v>4</v>
      </c>
      <c r="R22" s="60">
        <f>IFERROR(INDEX(directors[Last],MAX(1,FLOOR((budgetMilestone4[row]-1)/(numCategories+3)+1,1))),1)</f>
        <v>0</v>
      </c>
    </row>
    <row r="23" spans="1:18" ht="15" customHeight="1" x14ac:dyDescent="0.25">
      <c r="A23" s="105" t="str">
        <f ca="1"/>
        <v>Consumables</v>
      </c>
      <c r="B23" s="105">
        <f ca="1"/>
        <v>0</v>
      </c>
      <c r="C23" s="105">
        <f ca="1"/>
        <v>0</v>
      </c>
      <c r="D23" s="105">
        <f ca="1"/>
        <v>0</v>
      </c>
      <c r="E23" s="105">
        <f ca="1"/>
        <v>0</v>
      </c>
      <c r="F23" s="105">
        <f ca="1"/>
        <v>0</v>
      </c>
      <c r="G23" s="105">
        <f ca="1"/>
        <v>0</v>
      </c>
      <c r="H23" s="60"/>
      <c r="I23"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Consumables</v>
      </c>
      <c r="J23" s="60">
        <f>budgetMilestone1[[#This Row],[Milestone 1]]</f>
        <v>0</v>
      </c>
      <c r="K23" s="60">
        <f>budgetMilestone2[[#This Row],[Milestone 2]]</f>
        <v>0</v>
      </c>
      <c r="L23" s="60">
        <f>budgetMilestone3[[#This Row],[Milestone 3]]</f>
        <v>0</v>
      </c>
      <c r="M23" s="60">
        <f>SUMIFS(ARF[Amount in Euro], ARF[Co Director],budgetMilestone4[director], ARF[Category], budgetMilestone4[Category], ARF[Date], "&gt;" &amp; cleanDateMilestone3,ARF[Date], "&lt;=" &amp; cleanDateMilestone4)</f>
        <v>0</v>
      </c>
      <c r="N23" s="85">
        <f ca="1">'Milestone 4'!$F23</f>
        <v>0</v>
      </c>
      <c r="O23" s="60">
        <f ca="1">SUM(budgetMilestone4[[#This Row],[Milestone 1]:[Final]])</f>
        <v>0</v>
      </c>
      <c r="P23" s="60">
        <f>ROW()-ROW(budgetMilestone4[#Headers])</f>
        <v>6</v>
      </c>
      <c r="Q23" s="60">
        <f>IF(budgetMilestone4[row] &lt;= numCategories +3, budgetMilestone4[row]-1, MOD(budgetMilestone4[row]-1,numCategories+3) + IF(MOD(budgetMilestone4[row]-2,numCategories+2)&gt;numCategories+1, 1,0))</f>
        <v>5</v>
      </c>
      <c r="R23" s="60">
        <f>IFERROR(INDEX(directors[Last],MAX(1,FLOOR((budgetMilestone4[row]-1)/(numCategories+3)+1,1))),1)</f>
        <v>0</v>
      </c>
    </row>
    <row r="24" spans="1:18" ht="15" customHeight="1" x14ac:dyDescent="0.25">
      <c r="A24" s="105" t="str">
        <f ca="1"/>
        <v>Other</v>
      </c>
      <c r="B24" s="105">
        <f ca="1"/>
        <v>0</v>
      </c>
      <c r="C24" s="105">
        <f ca="1"/>
        <v>0</v>
      </c>
      <c r="D24" s="105">
        <f ca="1"/>
        <v>0</v>
      </c>
      <c r="E24" s="105">
        <f ca="1"/>
        <v>0</v>
      </c>
      <c r="F24" s="105">
        <f ca="1"/>
        <v>0</v>
      </c>
      <c r="G24" s="105">
        <f ca="1"/>
        <v>0</v>
      </c>
      <c r="H24" s="60"/>
      <c r="I24"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Other</v>
      </c>
      <c r="J24" s="60">
        <f>budgetMilestone1[[#This Row],[Milestone 1]]</f>
        <v>0</v>
      </c>
      <c r="K24" s="60">
        <f>budgetMilestone2[[#This Row],[Milestone 2]]</f>
        <v>0</v>
      </c>
      <c r="L24" s="60">
        <f>budgetMilestone3[[#This Row],[Milestone 3]]</f>
        <v>0</v>
      </c>
      <c r="M24" s="60">
        <f>SUMIFS(ARF[Amount in Euro], ARF[Co Director],budgetMilestone4[director], ARF[Category], budgetMilestone4[Category], ARF[Date], "&gt;" &amp; cleanDateMilestone3,ARF[Date], "&lt;=" &amp; cleanDateMilestone4)</f>
        <v>0</v>
      </c>
      <c r="N24" s="85">
        <f ca="1">'Milestone 4'!$F24</f>
        <v>0</v>
      </c>
      <c r="O24" s="60">
        <f ca="1">SUM(budgetMilestone4[[#This Row],[Milestone 1]:[Final]])</f>
        <v>0</v>
      </c>
      <c r="P24" s="60">
        <f>ROW()-ROW(budgetMilestone4[#Headers])</f>
        <v>7</v>
      </c>
      <c r="Q24" s="60">
        <f>IF(budgetMilestone4[row] &lt;= numCategories +3, budgetMilestone4[row]-1, MOD(budgetMilestone4[row]-1,numCategories+3) + IF(MOD(budgetMilestone4[row]-2,numCategories+2)&gt;numCategories+1, 1,0))</f>
        <v>6</v>
      </c>
      <c r="R24" s="60">
        <f>IFERROR(INDEX(directors[Last],MAX(1,FLOOR((budgetMilestone4[row]-1)/(numCategories+3)+1,1))),1)</f>
        <v>0</v>
      </c>
    </row>
    <row r="25" spans="1:18" ht="15" customHeight="1" x14ac:dyDescent="0.25">
      <c r="A25" s="105" t="str">
        <f ca="1"/>
        <v>Stipends</v>
      </c>
      <c r="B25" s="105">
        <f ca="1"/>
        <v>0</v>
      </c>
      <c r="C25" s="105">
        <f ca="1"/>
        <v>0</v>
      </c>
      <c r="D25" s="105">
        <f ca="1"/>
        <v>0</v>
      </c>
      <c r="E25" s="105">
        <f ca="1"/>
        <v>0</v>
      </c>
      <c r="F25" s="105">
        <f ca="1"/>
        <v>0</v>
      </c>
      <c r="G25" s="105">
        <f ca="1"/>
        <v>0</v>
      </c>
      <c r="H25" s="60"/>
      <c r="I25"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Stipends</v>
      </c>
      <c r="J25" s="60">
        <f>budgetMilestone1[[#This Row],[Milestone 1]]</f>
        <v>0</v>
      </c>
      <c r="K25" s="60">
        <f>budgetMilestone2[[#This Row],[Milestone 2]]</f>
        <v>0</v>
      </c>
      <c r="L25" s="60">
        <f>budgetMilestone3[[#This Row],[Milestone 3]]</f>
        <v>0</v>
      </c>
      <c r="M25" s="60">
        <f>SUMIFS(ARF[Amount in Euro], ARF[Co Director],budgetMilestone4[director], ARF[Category], budgetMilestone4[Category], ARF[Date], "&gt;" &amp; cleanDateMilestone3,ARF[Date], "&lt;=" &amp; cleanDateMilestone4)</f>
        <v>0</v>
      </c>
      <c r="N25" s="85">
        <f ca="1">'Milestone 4'!$F25</f>
        <v>0</v>
      </c>
      <c r="O25" s="60">
        <f ca="1">SUM(budgetMilestone4[[#This Row],[Milestone 1]:[Final]])</f>
        <v>0</v>
      </c>
      <c r="P25" s="60">
        <f>ROW()-ROW(budgetMilestone4[#Headers])</f>
        <v>8</v>
      </c>
      <c r="Q25" s="60">
        <f>IF(budgetMilestone4[row] &lt;= numCategories +3, budgetMilestone4[row]-1, MOD(budgetMilestone4[row]-1,numCategories+3) + IF(MOD(budgetMilestone4[row]-2,numCategories+2)&gt;numCategories+1, 1,0))</f>
        <v>7</v>
      </c>
      <c r="R25" s="60">
        <f>IFERROR(INDEX(directors[Last],MAX(1,FLOOR((budgetMilestone4[row]-1)/(numCategories+3)+1,1))),1)</f>
        <v>0</v>
      </c>
    </row>
    <row r="26" spans="1:18" ht="15" customHeight="1" x14ac:dyDescent="0.25">
      <c r="A26" s="105" t="str">
        <f ca="1"/>
        <v>Co-financing of personnel</v>
      </c>
      <c r="B26" s="105">
        <f ca="1"/>
        <v>0</v>
      </c>
      <c r="C26" s="105">
        <f ca="1"/>
        <v>0</v>
      </c>
      <c r="D26" s="105">
        <f ca="1"/>
        <v>0</v>
      </c>
      <c r="E26" s="105">
        <f ca="1"/>
        <v>0</v>
      </c>
      <c r="F26" s="105">
        <f ca="1"/>
        <v>0</v>
      </c>
      <c r="G26" s="105">
        <f ca="1"/>
        <v>0</v>
      </c>
      <c r="H26" s="60"/>
      <c r="I26"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Co-financing of personnel</v>
      </c>
      <c r="J26" s="60">
        <f>budgetMilestone1[[#This Row],[Milestone 1]]</f>
        <v>0</v>
      </c>
      <c r="K26" s="60">
        <f>budgetMilestone2[[#This Row],[Milestone 2]]</f>
        <v>0</v>
      </c>
      <c r="L26" s="60">
        <f>budgetMilestone3[[#This Row],[Milestone 3]]</f>
        <v>0</v>
      </c>
      <c r="M26" s="60">
        <f>SUMIFS(ARF[Amount in Euro], ARF[Co Director],budgetMilestone4[director], ARF[Category], budgetMilestone4[Category], ARF[Date], "&gt;" &amp; cleanDateMilestone3,ARF[Date], "&lt;=" &amp; cleanDateMilestone4)</f>
        <v>0</v>
      </c>
      <c r="N26" s="85">
        <f ca="1">'Milestone 4'!$F26</f>
        <v>0</v>
      </c>
      <c r="O26" s="60">
        <f ca="1">SUM(budgetMilestone4[[#This Row],[Milestone 1]:[Final]])</f>
        <v>0</v>
      </c>
      <c r="P26" s="60">
        <f>ROW()-ROW(budgetMilestone4[#Headers])</f>
        <v>9</v>
      </c>
      <c r="Q26" s="60">
        <f>IF(budgetMilestone4[row] &lt;= numCategories +3, budgetMilestone4[row]-1, MOD(budgetMilestone4[row]-1,numCategories+3) + IF(MOD(budgetMilestone4[row]-2,numCategories+2)&gt;numCategories+1, 1,0))</f>
        <v>8</v>
      </c>
      <c r="R26" s="60">
        <f>IFERROR(INDEX(directors[Last],MAX(1,FLOOR((budgetMilestone4[row]-1)/(numCategories+3)+1,1))),1)</f>
        <v>0</v>
      </c>
    </row>
    <row r="27" spans="1:18" ht="15" customHeight="1" x14ac:dyDescent="0.25">
      <c r="A27" s="105" t="str">
        <f ca="1"/>
        <v>Subtotal 0</v>
      </c>
      <c r="B27" s="105">
        <f ca="1"/>
        <v>0</v>
      </c>
      <c r="C27" s="105">
        <f ca="1"/>
        <v>0</v>
      </c>
      <c r="D27" s="105">
        <f ca="1"/>
        <v>0</v>
      </c>
      <c r="E27" s="105">
        <f ca="1"/>
        <v>0</v>
      </c>
      <c r="F27" s="105">
        <f ca="1"/>
        <v>0</v>
      </c>
      <c r="G27" s="105">
        <f ca="1"/>
        <v>0</v>
      </c>
      <c r="H27" s="60"/>
      <c r="I27"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Subtotal 0</v>
      </c>
      <c r="J27" s="60">
        <f>budgetMilestone1[[#This Row],[Milestone 1]]</f>
        <v>0</v>
      </c>
      <c r="K27" s="60">
        <f>budgetMilestone2[[#This Row],[Milestone 2]]</f>
        <v>0</v>
      </c>
      <c r="L27" s="60">
        <f>budgetMilestone3[[#This Row],[Milestone 3]]</f>
        <v>0</v>
      </c>
      <c r="M27" s="60">
        <f t="shared" ref="M27:O27" si="0">SUBTOTAL(9,M19:M26)</f>
        <v>0</v>
      </c>
      <c r="N27" s="60">
        <f t="shared" ca="1" si="0"/>
        <v>0</v>
      </c>
      <c r="O27" s="60">
        <f t="shared" ca="1" si="0"/>
        <v>0</v>
      </c>
      <c r="P27" s="60">
        <f>ROW()-ROW(budgetMilestone4[#Headers])</f>
        <v>10</v>
      </c>
      <c r="Q27" s="60">
        <f>IF(budgetMilestone4[row] &lt;= numCategories +3, budgetMilestone4[row]-1, MOD(budgetMilestone4[row]-1,numCategories+3) + IF(MOD(budgetMilestone4[row]-2,numCategories+2)&gt;numCategories+1, 1,0))</f>
        <v>9</v>
      </c>
      <c r="R27" s="60">
        <f>IFERROR(INDEX(directors[Last],MAX(1,FLOOR((budgetMilestone4[row]-1)/(numCategories+3)+1,1))),1)</f>
        <v>0</v>
      </c>
    </row>
    <row r="28" spans="1:18" ht="15" customHeight="1" x14ac:dyDescent="0.25">
      <c r="A28" s="105" t="str">
        <f ca="1"/>
        <v/>
      </c>
      <c r="B28" s="105">
        <f ca="1"/>
        <v>0</v>
      </c>
      <c r="C28" s="105">
        <f ca="1"/>
        <v>0</v>
      </c>
      <c r="D28" s="105">
        <f ca="1"/>
        <v>0</v>
      </c>
      <c r="E28" s="105">
        <f ca="1"/>
        <v>0</v>
      </c>
      <c r="F28" s="105">
        <f ca="1"/>
        <v>0</v>
      </c>
      <c r="G28" s="105">
        <f ca="1"/>
        <v>0</v>
      </c>
      <c r="H28" s="60"/>
      <c r="I28"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c>
      <c r="J28" s="60">
        <f>budgetMilestone1[[#This Row],[Milestone 1]]</f>
        <v>0</v>
      </c>
      <c r="K28" s="60">
        <f>budgetMilestone2[[#This Row],[Milestone 2]]</f>
        <v>0</v>
      </c>
      <c r="L28" s="60">
        <f>budgetMilestone3[[#This Row],[Milestone 3]]</f>
        <v>0</v>
      </c>
      <c r="M28" s="60"/>
      <c r="N28" s="60"/>
      <c r="O28" s="60"/>
      <c r="P28" s="60">
        <f>ROW()-ROW(budgetMilestone4[#Headers])</f>
        <v>11</v>
      </c>
      <c r="Q28" s="60">
        <f>IF(budgetMilestone4[row] &lt;= numCategories +3, budgetMilestone4[row]-1, MOD(budgetMilestone4[row]-1,numCategories+3) + IF(MOD(budgetMilestone4[row]-2,numCategories+2)&gt;numCategories+1, 1,0))</f>
        <v>10</v>
      </c>
      <c r="R28" s="60">
        <f>IFERROR(INDEX(directors[Last],MAX(1,FLOOR((budgetMilestone4[row]-1)/(numCategories+3)+1,1))),1)</f>
        <v>0</v>
      </c>
    </row>
    <row r="29" spans="1:18" ht="15" customHeight="1" x14ac:dyDescent="0.25">
      <c r="A29" s="105" t="str">
        <f ca="1"/>
        <v xml:space="preserve">0 / </v>
      </c>
      <c r="B29" s="105">
        <f ca="1"/>
        <v>0</v>
      </c>
      <c r="C29" s="105">
        <f ca="1"/>
        <v>0</v>
      </c>
      <c r="D29" s="105">
        <f ca="1"/>
        <v>0</v>
      </c>
      <c r="E29" s="105">
        <f ca="1"/>
        <v>0</v>
      </c>
      <c r="F29" s="105">
        <f ca="1"/>
        <v>0</v>
      </c>
      <c r="G29" s="105">
        <f ca="1"/>
        <v>0</v>
      </c>
      <c r="H29" s="60"/>
      <c r="I29"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xml:space="preserve">0 / </v>
      </c>
      <c r="J29" s="60">
        <f>budgetMilestone1[[#This Row],[Milestone 1]]</f>
        <v>0</v>
      </c>
      <c r="K29" s="60">
        <f>budgetMilestone2[[#This Row],[Milestone 2]]</f>
        <v>0</v>
      </c>
      <c r="L29" s="60">
        <f>budgetMilestone3[[#This Row],[Milestone 3]]</f>
        <v>0</v>
      </c>
      <c r="M29" s="60"/>
      <c r="N29" s="60"/>
      <c r="O29" s="60"/>
      <c r="P29" s="60">
        <f>ROW()-ROW(budgetMilestone4[#Headers])</f>
        <v>12</v>
      </c>
      <c r="Q29" s="60">
        <f>IF(budgetMilestone4[row] &lt;= numCategories +3, budgetMilestone4[row]-1, MOD(budgetMilestone4[row]-1,numCategories+3) + IF(MOD(budgetMilestone4[row]-2,numCategories+2)&gt;numCategories+1, 1,0))</f>
        <v>0</v>
      </c>
      <c r="R29" s="60">
        <f>IFERROR(INDEX(directors[Last],MAX(1,FLOOR((budgetMilestone4[row]-1)/(numCategories+3)+1,1))),1)</f>
        <v>0</v>
      </c>
    </row>
    <row r="30" spans="1:18" ht="15" customHeight="1" x14ac:dyDescent="0.25">
      <c r="A30" s="105" t="str">
        <f ca="1"/>
        <v>Equipment</v>
      </c>
      <c r="B30" s="105">
        <f ca="1"/>
        <v>0</v>
      </c>
      <c r="C30" s="105">
        <f ca="1"/>
        <v>0</v>
      </c>
      <c r="D30" s="105">
        <f ca="1"/>
        <v>0</v>
      </c>
      <c r="E30" s="105">
        <f ca="1"/>
        <v>0</v>
      </c>
      <c r="F30" s="105">
        <f ca="1"/>
        <v>0</v>
      </c>
      <c r="G30" s="105">
        <f ca="1"/>
        <v>0</v>
      </c>
      <c r="H30" s="60"/>
      <c r="I30"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Equipment</v>
      </c>
      <c r="J30" s="60">
        <f>budgetMilestone1[[#This Row],[Milestone 1]]</f>
        <v>0</v>
      </c>
      <c r="K30" s="60">
        <f>budgetMilestone2[[#This Row],[Milestone 2]]</f>
        <v>0</v>
      </c>
      <c r="L30" s="60">
        <f>budgetMilestone3[[#This Row],[Milestone 3]]</f>
        <v>0</v>
      </c>
      <c r="M30" s="60">
        <f>SUMIFS(ARF[Amount in Euro], ARF[Co Director],budgetMilestone4[director], ARF[Category], budgetMilestone4[Category], ARF[Date], "&gt;" &amp; cleanDateMilestone3,ARF[Date], "&lt;=" &amp; cleanDateMilestone4)</f>
        <v>0</v>
      </c>
      <c r="N30" s="85">
        <f ca="1">'Milestone 4'!$F30</f>
        <v>0</v>
      </c>
      <c r="O30" s="60">
        <f ca="1">SUM(budgetMilestone4[[#This Row],[Milestone 1]:[Final]])</f>
        <v>0</v>
      </c>
      <c r="P30" s="60">
        <f>ROW()-ROW(budgetMilestone4[#Headers])</f>
        <v>13</v>
      </c>
      <c r="Q30" s="60">
        <f>IF(budgetMilestone4[row] &lt;= numCategories +3, budgetMilestone4[row]-1, MOD(budgetMilestone4[row]-1,numCategories+3) + IF(MOD(budgetMilestone4[row]-2,numCategories+2)&gt;numCategories+1, 1,0))</f>
        <v>1</v>
      </c>
      <c r="R30" s="60">
        <f>IFERROR(INDEX(directors[Last],MAX(1,FLOOR((budgetMilestone4[row]-1)/(numCategories+3)+1,1))),1)</f>
        <v>0</v>
      </c>
    </row>
    <row r="31" spans="1:18" ht="15" customHeight="1" x14ac:dyDescent="0.25">
      <c r="A31" s="105" t="str">
        <f ca="1"/>
        <v>Training</v>
      </c>
      <c r="B31" s="105">
        <f ca="1"/>
        <v>0</v>
      </c>
      <c r="C31" s="105">
        <f ca="1"/>
        <v>0</v>
      </c>
      <c r="D31" s="105">
        <f ca="1"/>
        <v>0</v>
      </c>
      <c r="E31" s="105">
        <f ca="1"/>
        <v>0</v>
      </c>
      <c r="F31" s="105">
        <f ca="1"/>
        <v>0</v>
      </c>
      <c r="G31" s="105">
        <f ca="1"/>
        <v>0</v>
      </c>
      <c r="H31" s="60"/>
      <c r="I31"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Training</v>
      </c>
      <c r="J31" s="60">
        <f>budgetMilestone1[[#This Row],[Milestone 1]]</f>
        <v>0</v>
      </c>
      <c r="K31" s="60">
        <f>budgetMilestone2[[#This Row],[Milestone 2]]</f>
        <v>0</v>
      </c>
      <c r="L31" s="60">
        <f>budgetMilestone3[[#This Row],[Milestone 3]]</f>
        <v>0</v>
      </c>
      <c r="M31" s="60">
        <f>SUMIFS(ARF[Amount in Euro], ARF[Co Director],budgetMilestone4[director], ARF[Category], budgetMilestone4[Category], ARF[Date], "&gt;" &amp; cleanDateMilestone3,ARF[Date], "&lt;=" &amp; cleanDateMilestone4)</f>
        <v>0</v>
      </c>
      <c r="N31" s="85">
        <f ca="1">'Milestone 4'!$F31</f>
        <v>0</v>
      </c>
      <c r="O31" s="60">
        <f ca="1">SUM(budgetMilestone4[[#This Row],[Milestone 1]:[Final]])</f>
        <v>0</v>
      </c>
      <c r="P31" s="60">
        <f>ROW()-ROW(budgetMilestone4[#Headers])</f>
        <v>14</v>
      </c>
      <c r="Q31" s="60">
        <f>IF(budgetMilestone4[row] &lt;= numCategories +3, budgetMilestone4[row]-1, MOD(budgetMilestone4[row]-1,numCategories+3) + IF(MOD(budgetMilestone4[row]-2,numCategories+2)&gt;numCategories+1, 1,0))</f>
        <v>2</v>
      </c>
      <c r="R31" s="60">
        <f>IFERROR(INDEX(directors[Last],MAX(1,FLOOR((budgetMilestone4[row]-1)/(numCategories+3)+1,1))),1)</f>
        <v>0</v>
      </c>
    </row>
    <row r="32" spans="1:18" ht="15" customHeight="1" x14ac:dyDescent="0.25">
      <c r="A32" s="105" t="str">
        <f ca="1"/>
        <v>Communication &amp; Publication</v>
      </c>
      <c r="B32" s="105">
        <f ca="1"/>
        <v>0</v>
      </c>
      <c r="C32" s="105">
        <f ca="1"/>
        <v>0</v>
      </c>
      <c r="D32" s="105">
        <f ca="1"/>
        <v>0</v>
      </c>
      <c r="E32" s="105">
        <f ca="1"/>
        <v>0</v>
      </c>
      <c r="F32" s="105">
        <f ca="1"/>
        <v>0</v>
      </c>
      <c r="G32" s="105">
        <f ca="1"/>
        <v>0</v>
      </c>
      <c r="H32" s="60"/>
      <c r="I32"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Communication &amp; Publication</v>
      </c>
      <c r="J32" s="60">
        <f>budgetMilestone1[[#This Row],[Milestone 1]]</f>
        <v>0</v>
      </c>
      <c r="K32" s="60">
        <f>budgetMilestone2[[#This Row],[Milestone 2]]</f>
        <v>0</v>
      </c>
      <c r="L32" s="60">
        <f>budgetMilestone3[[#This Row],[Milestone 3]]</f>
        <v>0</v>
      </c>
      <c r="M32" s="60">
        <f>SUMIFS(ARF[Amount in Euro], ARF[Co Director],budgetMilestone4[director], ARF[Category], budgetMilestone4[Category], ARF[Date], "&gt;" &amp; cleanDateMilestone3,ARF[Date], "&lt;=" &amp; cleanDateMilestone4)</f>
        <v>0</v>
      </c>
      <c r="N32" s="85">
        <f ca="1">'Milestone 4'!$F32</f>
        <v>0</v>
      </c>
      <c r="O32" s="60">
        <f ca="1">SUM(budgetMilestone4[[#This Row],[Milestone 1]:[Final]])</f>
        <v>0</v>
      </c>
      <c r="P32" s="60">
        <f>ROW()-ROW(budgetMilestone4[#Headers])</f>
        <v>15</v>
      </c>
      <c r="Q32" s="60">
        <f>IF(budgetMilestone4[row] &lt;= numCategories +3, budgetMilestone4[row]-1, MOD(budgetMilestone4[row]-1,numCategories+3) + IF(MOD(budgetMilestone4[row]-2,numCategories+2)&gt;numCategories+1, 1,0))</f>
        <v>3</v>
      </c>
      <c r="R32" s="60">
        <f>IFERROR(INDEX(directors[Last],MAX(1,FLOOR((budgetMilestone4[row]-1)/(numCategories+3)+1,1))),1)</f>
        <v>0</v>
      </c>
    </row>
    <row r="33" spans="1:18" ht="15" customHeight="1" x14ac:dyDescent="0.25">
      <c r="A33" s="105" t="str">
        <f ca="1"/>
        <v>Travel</v>
      </c>
      <c r="B33" s="105">
        <f ca="1"/>
        <v>0</v>
      </c>
      <c r="C33" s="105">
        <f ca="1"/>
        <v>0</v>
      </c>
      <c r="D33" s="105">
        <f ca="1"/>
        <v>0</v>
      </c>
      <c r="E33" s="105">
        <f ca="1"/>
        <v>0</v>
      </c>
      <c r="F33" s="105">
        <f ca="1"/>
        <v>0</v>
      </c>
      <c r="G33" s="105">
        <f ca="1"/>
        <v>0</v>
      </c>
      <c r="H33" s="60"/>
      <c r="I33"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Travel</v>
      </c>
      <c r="J33" s="60">
        <f>budgetMilestone1[[#This Row],[Milestone 1]]</f>
        <v>0</v>
      </c>
      <c r="K33" s="60">
        <f>budgetMilestone2[[#This Row],[Milestone 2]]</f>
        <v>0</v>
      </c>
      <c r="L33" s="60">
        <f>budgetMilestone3[[#This Row],[Milestone 3]]</f>
        <v>0</v>
      </c>
      <c r="M33" s="60">
        <f>SUMIFS(ARF[Amount in Euro], ARF[Co Director],budgetMilestone4[director], ARF[Category], budgetMilestone4[Category], ARF[Date], "&gt;" &amp; cleanDateMilestone3,ARF[Date], "&lt;=" &amp; cleanDateMilestone4)</f>
        <v>0</v>
      </c>
      <c r="N33" s="85">
        <f ca="1">'Milestone 4'!$F33</f>
        <v>0</v>
      </c>
      <c r="O33" s="60">
        <f ca="1">SUM(budgetMilestone4[[#This Row],[Milestone 1]:[Final]])</f>
        <v>0</v>
      </c>
      <c r="P33" s="60">
        <f>ROW()-ROW(budgetMilestone4[#Headers])</f>
        <v>16</v>
      </c>
      <c r="Q33" s="60">
        <f>IF(budgetMilestone4[row] &lt;= numCategories +3, budgetMilestone4[row]-1, MOD(budgetMilestone4[row]-1,numCategories+3) + IF(MOD(budgetMilestone4[row]-2,numCategories+2)&gt;numCategories+1, 1,0))</f>
        <v>4</v>
      </c>
      <c r="R33" s="60">
        <f>IFERROR(INDEX(directors[Last],MAX(1,FLOOR((budgetMilestone4[row]-1)/(numCategories+3)+1,1))),1)</f>
        <v>0</v>
      </c>
    </row>
    <row r="34" spans="1:18" ht="15" customHeight="1" x14ac:dyDescent="0.25">
      <c r="A34" s="105" t="str">
        <f ca="1"/>
        <v>Consumables</v>
      </c>
      <c r="B34" s="105">
        <f ca="1"/>
        <v>0</v>
      </c>
      <c r="C34" s="105">
        <f ca="1"/>
        <v>0</v>
      </c>
      <c r="D34" s="105">
        <f ca="1"/>
        <v>0</v>
      </c>
      <c r="E34" s="105">
        <f ca="1"/>
        <v>0</v>
      </c>
      <c r="F34" s="105">
        <f ca="1"/>
        <v>0</v>
      </c>
      <c r="G34" s="105">
        <f ca="1"/>
        <v>0</v>
      </c>
      <c r="H34" s="60"/>
      <c r="I34"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Consumables</v>
      </c>
      <c r="J34" s="60">
        <f>budgetMilestone1[[#This Row],[Milestone 1]]</f>
        <v>0</v>
      </c>
      <c r="K34" s="60">
        <f>budgetMilestone2[[#This Row],[Milestone 2]]</f>
        <v>0</v>
      </c>
      <c r="L34" s="60">
        <f>budgetMilestone3[[#This Row],[Milestone 3]]</f>
        <v>0</v>
      </c>
      <c r="M34" s="60">
        <f>SUMIFS(ARF[Amount in Euro], ARF[Co Director],budgetMilestone4[director], ARF[Category], budgetMilestone4[Category], ARF[Date], "&gt;" &amp; cleanDateMilestone3,ARF[Date], "&lt;=" &amp; cleanDateMilestone4)</f>
        <v>0</v>
      </c>
      <c r="N34" s="85">
        <f ca="1">'Milestone 4'!$F34</f>
        <v>0</v>
      </c>
      <c r="O34" s="60">
        <f ca="1">SUM(budgetMilestone4[[#This Row],[Milestone 1]:[Final]])</f>
        <v>0</v>
      </c>
      <c r="P34" s="60">
        <f>ROW()-ROW(budgetMilestone4[#Headers])</f>
        <v>17</v>
      </c>
      <c r="Q34" s="60">
        <f>IF(budgetMilestone4[row] &lt;= numCategories +3, budgetMilestone4[row]-1, MOD(budgetMilestone4[row]-1,numCategories+3) + IF(MOD(budgetMilestone4[row]-2,numCategories+2)&gt;numCategories+1, 1,0))</f>
        <v>5</v>
      </c>
      <c r="R34" s="60">
        <f>IFERROR(INDEX(directors[Last],MAX(1,FLOOR((budgetMilestone4[row]-1)/(numCategories+3)+1,1))),1)</f>
        <v>0</v>
      </c>
    </row>
    <row r="35" spans="1:18" ht="15" customHeight="1" x14ac:dyDescent="0.25">
      <c r="A35" s="105" t="str">
        <f ca="1"/>
        <v>Other</v>
      </c>
      <c r="B35" s="105">
        <f ca="1"/>
        <v>0</v>
      </c>
      <c r="C35" s="105">
        <f ca="1"/>
        <v>0</v>
      </c>
      <c r="D35" s="105">
        <f ca="1"/>
        <v>0</v>
      </c>
      <c r="E35" s="105">
        <f ca="1"/>
        <v>0</v>
      </c>
      <c r="F35" s="105">
        <f ca="1"/>
        <v>0</v>
      </c>
      <c r="G35" s="105">
        <f ca="1"/>
        <v>0</v>
      </c>
      <c r="H35" s="60"/>
      <c r="I35"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Other</v>
      </c>
      <c r="J35" s="60">
        <f>budgetMilestone1[[#This Row],[Milestone 1]]</f>
        <v>0</v>
      </c>
      <c r="K35" s="60">
        <f>budgetMilestone2[[#This Row],[Milestone 2]]</f>
        <v>0</v>
      </c>
      <c r="L35" s="60">
        <f>budgetMilestone3[[#This Row],[Milestone 3]]</f>
        <v>0</v>
      </c>
      <c r="M35" s="60">
        <f>SUMIFS(ARF[Amount in Euro], ARF[Co Director],budgetMilestone4[director], ARF[Category], budgetMilestone4[Category], ARF[Date], "&gt;" &amp; cleanDateMilestone3,ARF[Date], "&lt;=" &amp; cleanDateMilestone4)</f>
        <v>0</v>
      </c>
      <c r="N35" s="85">
        <f ca="1">'Milestone 4'!$F35</f>
        <v>0</v>
      </c>
      <c r="O35" s="60">
        <f ca="1">SUM(budgetMilestone4[[#This Row],[Milestone 1]:[Final]])</f>
        <v>0</v>
      </c>
      <c r="P35" s="60">
        <f>ROW()-ROW(budgetMilestone4[#Headers])</f>
        <v>18</v>
      </c>
      <c r="Q35" s="60">
        <f>IF(budgetMilestone4[row] &lt;= numCategories +3, budgetMilestone4[row]-1, MOD(budgetMilestone4[row]-1,numCategories+3) + IF(MOD(budgetMilestone4[row]-2,numCategories+2)&gt;numCategories+1, 1,0))</f>
        <v>6</v>
      </c>
      <c r="R35" s="60">
        <f>IFERROR(INDEX(directors[Last],MAX(1,FLOOR((budgetMilestone4[row]-1)/(numCategories+3)+1,1))),1)</f>
        <v>0</v>
      </c>
    </row>
    <row r="36" spans="1:18" ht="15" customHeight="1" x14ac:dyDescent="0.25">
      <c r="A36" s="105" t="str">
        <f ca="1"/>
        <v>Stipends</v>
      </c>
      <c r="B36" s="105">
        <f ca="1"/>
        <v>0</v>
      </c>
      <c r="C36" s="105">
        <f ca="1"/>
        <v>0</v>
      </c>
      <c r="D36" s="105">
        <f ca="1"/>
        <v>0</v>
      </c>
      <c r="E36" s="105">
        <f ca="1"/>
        <v>0</v>
      </c>
      <c r="F36" s="105">
        <f ca="1"/>
        <v>0</v>
      </c>
      <c r="G36" s="105">
        <f ca="1"/>
        <v>0</v>
      </c>
      <c r="H36" s="60"/>
      <c r="I36"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Stipends</v>
      </c>
      <c r="J36" s="60">
        <f>budgetMilestone1[[#This Row],[Milestone 1]]</f>
        <v>0</v>
      </c>
      <c r="K36" s="60">
        <f>budgetMilestone2[[#This Row],[Milestone 2]]</f>
        <v>0</v>
      </c>
      <c r="L36" s="60">
        <f>budgetMilestone3[[#This Row],[Milestone 3]]</f>
        <v>0</v>
      </c>
      <c r="M36" s="60">
        <f>SUMIFS(ARF[Amount in Euro], ARF[Co Director],budgetMilestone4[director], ARF[Category], budgetMilestone4[Category], ARF[Date], "&gt;" &amp; cleanDateMilestone3,ARF[Date], "&lt;=" &amp; cleanDateMilestone4)</f>
        <v>0</v>
      </c>
      <c r="N36" s="85">
        <f ca="1">'Milestone 4'!$F36</f>
        <v>0</v>
      </c>
      <c r="O36" s="60">
        <f ca="1">SUM(budgetMilestone4[[#This Row],[Milestone 1]:[Final]])</f>
        <v>0</v>
      </c>
      <c r="P36" s="60">
        <f>ROW()-ROW(budgetMilestone4[#Headers])</f>
        <v>19</v>
      </c>
      <c r="Q36" s="60">
        <f>IF(budgetMilestone4[row] &lt;= numCategories +3, budgetMilestone4[row]-1, MOD(budgetMilestone4[row]-1,numCategories+3) + IF(MOD(budgetMilestone4[row]-2,numCategories+2)&gt;numCategories+1, 1,0))</f>
        <v>7</v>
      </c>
      <c r="R36" s="60">
        <f>IFERROR(INDEX(directors[Last],MAX(1,FLOOR((budgetMilestone4[row]-1)/(numCategories+3)+1,1))),1)</f>
        <v>0</v>
      </c>
    </row>
    <row r="37" spans="1:18" ht="15" customHeight="1" x14ac:dyDescent="0.25">
      <c r="A37" s="105" t="str">
        <f ca="1"/>
        <v>Co-financing of personnel</v>
      </c>
      <c r="B37" s="105">
        <f ca="1"/>
        <v>0</v>
      </c>
      <c r="C37" s="105">
        <f ca="1"/>
        <v>0</v>
      </c>
      <c r="D37" s="105">
        <f ca="1"/>
        <v>0</v>
      </c>
      <c r="E37" s="105">
        <f ca="1"/>
        <v>0</v>
      </c>
      <c r="F37" s="105">
        <f ca="1"/>
        <v>0</v>
      </c>
      <c r="G37" s="105">
        <f ca="1"/>
        <v>0</v>
      </c>
      <c r="H37" s="60"/>
      <c r="I37"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Co-financing of personnel</v>
      </c>
      <c r="J37" s="60">
        <f>budgetMilestone1[[#This Row],[Milestone 1]]</f>
        <v>0</v>
      </c>
      <c r="K37" s="60">
        <f>budgetMilestone2[[#This Row],[Milestone 2]]</f>
        <v>0</v>
      </c>
      <c r="L37" s="60">
        <f>budgetMilestone3[[#This Row],[Milestone 3]]</f>
        <v>0</v>
      </c>
      <c r="M37" s="60">
        <f>SUMIFS(ARF[Amount in Euro], ARF[Co Director],budgetMilestone4[director], ARF[Category], budgetMilestone4[Category], ARF[Date], "&gt;" &amp; cleanDateMilestone3,ARF[Date], "&lt;=" &amp; cleanDateMilestone4)</f>
        <v>0</v>
      </c>
      <c r="N37" s="85">
        <f ca="1">'Milestone 4'!$F37</f>
        <v>0</v>
      </c>
      <c r="O37" s="60">
        <f ca="1">SUM(budgetMilestone4[[#This Row],[Milestone 1]:[Final]])</f>
        <v>0</v>
      </c>
      <c r="P37" s="60">
        <f>ROW()-ROW(budgetMilestone4[#Headers])</f>
        <v>20</v>
      </c>
      <c r="Q37" s="60">
        <f>IF(budgetMilestone4[row] &lt;= numCategories +3, budgetMilestone4[row]-1, MOD(budgetMilestone4[row]-1,numCategories+3) + IF(MOD(budgetMilestone4[row]-2,numCategories+2)&gt;numCategories+1, 1,0))</f>
        <v>8</v>
      </c>
      <c r="R37" s="60">
        <f>IFERROR(INDEX(directors[Last],MAX(1,FLOOR((budgetMilestone4[row]-1)/(numCategories+3)+1,1))),1)</f>
        <v>0</v>
      </c>
    </row>
    <row r="38" spans="1:18" ht="15" customHeight="1" x14ac:dyDescent="0.25">
      <c r="A38" s="105" t="str">
        <f ca="1"/>
        <v>Subtotal 0</v>
      </c>
      <c r="B38" s="105">
        <f ca="1"/>
        <v>0</v>
      </c>
      <c r="C38" s="105">
        <f ca="1"/>
        <v>0</v>
      </c>
      <c r="D38" s="105">
        <f ca="1"/>
        <v>0</v>
      </c>
      <c r="E38" s="105">
        <f ca="1"/>
        <v>0</v>
      </c>
      <c r="F38" s="105">
        <f ca="1"/>
        <v>0</v>
      </c>
      <c r="G38" s="105">
        <f ca="1"/>
        <v>0</v>
      </c>
      <c r="H38" s="60"/>
      <c r="I38"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Subtotal 0</v>
      </c>
      <c r="J38" s="60">
        <f>budgetMilestone1[[#This Row],[Milestone 1]]</f>
        <v>0</v>
      </c>
      <c r="K38" s="60">
        <f>budgetMilestone2[[#This Row],[Milestone 2]]</f>
        <v>0</v>
      </c>
      <c r="L38" s="60">
        <f>budgetMilestone3[[#This Row],[Milestone 3]]</f>
        <v>0</v>
      </c>
      <c r="M38" s="60">
        <f t="shared" ref="M38" si="1">SUBTOTAL(9,M31:M37)</f>
        <v>0</v>
      </c>
      <c r="N38" s="60">
        <f ca="1">SUBTOTAL(9,N30:N37)</f>
        <v>0</v>
      </c>
      <c r="O38" s="60">
        <f ca="1">SUBTOTAL(9,O30:O37)</f>
        <v>0</v>
      </c>
      <c r="P38" s="60">
        <f>ROW()-ROW(budgetMilestone4[#Headers])</f>
        <v>21</v>
      </c>
      <c r="Q38" s="60">
        <f>IF(budgetMilestone4[row] &lt;= numCategories +3, budgetMilestone4[row]-1, MOD(budgetMilestone4[row]-1,numCategories+3) + IF(MOD(budgetMilestone4[row]-2,numCategories+2)&gt;numCategories+1, 1,0))</f>
        <v>9</v>
      </c>
      <c r="R38" s="60">
        <f>IFERROR(INDEX(directors[Last],MAX(1,FLOOR((budgetMilestone4[row]-1)/(numCategories+3)+1,1))),1)</f>
        <v>0</v>
      </c>
    </row>
    <row r="39" spans="1:18" ht="15" customHeight="1" x14ac:dyDescent="0.25">
      <c r="A39" s="105" t="str">
        <f ca="1"/>
        <v/>
      </c>
      <c r="B39" s="105">
        <f ca="1"/>
        <v>0</v>
      </c>
      <c r="C39" s="105">
        <f ca="1"/>
        <v>0</v>
      </c>
      <c r="D39" s="105">
        <f ca="1"/>
        <v>0</v>
      </c>
      <c r="E39" s="105">
        <f ca="1"/>
        <v>0</v>
      </c>
      <c r="F39" s="105">
        <f ca="1"/>
        <v>0</v>
      </c>
      <c r="G39" s="105">
        <f ca="1"/>
        <v>0</v>
      </c>
      <c r="H39" s="60"/>
      <c r="I39"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c>
      <c r="J39" s="60">
        <f>budgetMilestone1[[#This Row],[Milestone 1]]</f>
        <v>0</v>
      </c>
      <c r="K39" s="60">
        <f>budgetMilestone2[[#This Row],[Milestone 2]]</f>
        <v>0</v>
      </c>
      <c r="L39" s="60">
        <f>budgetMilestone3[[#This Row],[Milestone 3]]</f>
        <v>0</v>
      </c>
      <c r="M39" s="60"/>
      <c r="N39" s="60"/>
      <c r="O39" s="60"/>
      <c r="P39" s="60">
        <f>ROW()-ROW(budgetMilestone4[#Headers])</f>
        <v>22</v>
      </c>
      <c r="Q39" s="60">
        <f>IF(budgetMilestone4[row] &lt;= numCategories +3, budgetMilestone4[row]-1, MOD(budgetMilestone4[row]-1,numCategories+3) + IF(MOD(budgetMilestone4[row]-2,numCategories+2)&gt;numCategories+1, 1,0))</f>
        <v>10</v>
      </c>
      <c r="R39" s="60">
        <f>IFERROR(INDEX(directors[Last],MAX(1,FLOOR((budgetMilestone4[row]-1)/(numCategories+3)+1,1))),1)</f>
        <v>0</v>
      </c>
    </row>
    <row r="40" spans="1:18" ht="15" customHeight="1" x14ac:dyDescent="0.25">
      <c r="A40" s="105" t="str">
        <f ca="1"/>
        <v xml:space="preserve">0 / </v>
      </c>
      <c r="B40" s="105">
        <f ca="1"/>
        <v>0</v>
      </c>
      <c r="C40" s="105">
        <f ca="1"/>
        <v>0</v>
      </c>
      <c r="D40" s="105">
        <f ca="1"/>
        <v>0</v>
      </c>
      <c r="E40" s="105">
        <f ca="1"/>
        <v>0</v>
      </c>
      <c r="F40" s="105">
        <f ca="1"/>
        <v>0</v>
      </c>
      <c r="G40" s="105">
        <f ca="1"/>
        <v>0</v>
      </c>
      <c r="H40" s="60"/>
      <c r="I40"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xml:space="preserve">0 / </v>
      </c>
      <c r="J40" s="60">
        <f>budgetMilestone1[[#This Row],[Milestone 1]]</f>
        <v>0</v>
      </c>
      <c r="K40" s="60">
        <f>budgetMilestone2[[#This Row],[Milestone 2]]</f>
        <v>0</v>
      </c>
      <c r="L40" s="60">
        <f>budgetMilestone3[[#This Row],[Milestone 3]]</f>
        <v>0</v>
      </c>
      <c r="M40" s="60"/>
      <c r="N40" s="60"/>
      <c r="O40" s="60"/>
      <c r="P40" s="60">
        <f>ROW()-ROW(budgetMilestone4[#Headers])</f>
        <v>23</v>
      </c>
      <c r="Q40" s="60">
        <f>IF(budgetMilestone4[row] &lt;= numCategories +3, budgetMilestone4[row]-1, MOD(budgetMilestone4[row]-1,numCategories+3) + IF(MOD(budgetMilestone4[row]-2,numCategories+2)&gt;numCategories+1, 1,0))</f>
        <v>0</v>
      </c>
      <c r="R40" s="60">
        <f>IFERROR(INDEX(directors[Last],MAX(1,FLOOR((budgetMilestone4[row]-1)/(numCategories+3)+1,1))),1)</f>
        <v>0</v>
      </c>
    </row>
    <row r="41" spans="1:18" ht="15" customHeight="1" x14ac:dyDescent="0.25">
      <c r="A41" s="105" t="str">
        <f ca="1"/>
        <v>Equipment</v>
      </c>
      <c r="B41" s="105">
        <f ca="1"/>
        <v>0</v>
      </c>
      <c r="C41" s="105">
        <f ca="1"/>
        <v>0</v>
      </c>
      <c r="D41" s="105">
        <f ca="1"/>
        <v>0</v>
      </c>
      <c r="E41" s="105">
        <f ca="1"/>
        <v>0</v>
      </c>
      <c r="F41" s="105">
        <f ca="1"/>
        <v>0</v>
      </c>
      <c r="G41" s="105">
        <f ca="1"/>
        <v>0</v>
      </c>
      <c r="H41" s="60"/>
      <c r="I41"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Equipment</v>
      </c>
      <c r="J41" s="60">
        <f>budgetMilestone1[[#This Row],[Milestone 1]]</f>
        <v>0</v>
      </c>
      <c r="K41" s="60">
        <f>budgetMilestone2[[#This Row],[Milestone 2]]</f>
        <v>0</v>
      </c>
      <c r="L41" s="60">
        <f>budgetMilestone3[[#This Row],[Milestone 3]]</f>
        <v>0</v>
      </c>
      <c r="M41" s="60">
        <f>SUMIFS(ARF[Amount in Euro], ARF[Co Director],budgetMilestone4[director], ARF[Category], budgetMilestone4[Category], ARF[Date], "&gt;" &amp; cleanDateMilestone3,ARF[Date], "&lt;=" &amp; cleanDateMilestone4)</f>
        <v>0</v>
      </c>
      <c r="N41" s="85">
        <f ca="1">'Milestone 4'!$F41</f>
        <v>0</v>
      </c>
      <c r="O41" s="60">
        <f ca="1">SUM(budgetMilestone4[[#This Row],[Milestone 1]:[Final]])</f>
        <v>0</v>
      </c>
      <c r="P41" s="60">
        <f>ROW()-ROW(budgetMilestone4[#Headers])</f>
        <v>24</v>
      </c>
      <c r="Q41" s="60">
        <f>IF(budgetMilestone4[row] &lt;= numCategories +3, budgetMilestone4[row]-1, MOD(budgetMilestone4[row]-1,numCategories+3) + IF(MOD(budgetMilestone4[row]-2,numCategories+2)&gt;numCategories+1, 1,0))</f>
        <v>1</v>
      </c>
      <c r="R41" s="60">
        <f>IFERROR(INDEX(directors[Last],MAX(1,FLOOR((budgetMilestone4[row]-1)/(numCategories+3)+1,1))),1)</f>
        <v>0</v>
      </c>
    </row>
    <row r="42" spans="1:18" ht="15" customHeight="1" x14ac:dyDescent="0.25">
      <c r="A42" s="105" t="str">
        <f ca="1"/>
        <v>Training</v>
      </c>
      <c r="B42" s="105">
        <f ca="1"/>
        <v>0</v>
      </c>
      <c r="C42" s="105">
        <f ca="1"/>
        <v>0</v>
      </c>
      <c r="D42" s="105">
        <f ca="1"/>
        <v>0</v>
      </c>
      <c r="E42" s="105">
        <f ca="1"/>
        <v>0</v>
      </c>
      <c r="F42" s="105">
        <f ca="1"/>
        <v>0</v>
      </c>
      <c r="G42" s="105">
        <f ca="1"/>
        <v>0</v>
      </c>
      <c r="H42" s="60"/>
      <c r="I42"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Training</v>
      </c>
      <c r="J42" s="60">
        <f>budgetMilestone1[[#This Row],[Milestone 1]]</f>
        <v>0</v>
      </c>
      <c r="K42" s="60">
        <f>budgetMilestone2[[#This Row],[Milestone 2]]</f>
        <v>0</v>
      </c>
      <c r="L42" s="60">
        <f>budgetMilestone3[[#This Row],[Milestone 3]]</f>
        <v>0</v>
      </c>
      <c r="M42" s="60">
        <f>SUMIFS(ARF[Amount in Euro], ARF[Co Director],budgetMilestone4[director], ARF[Category], budgetMilestone4[Category], ARF[Date], "&gt;" &amp; cleanDateMilestone3,ARF[Date], "&lt;=" &amp; cleanDateMilestone4)</f>
        <v>0</v>
      </c>
      <c r="N42" s="85">
        <f ca="1">'Milestone 4'!$F42</f>
        <v>0</v>
      </c>
      <c r="O42" s="60">
        <f ca="1">SUM(budgetMilestone4[[#This Row],[Milestone 1]:[Final]])</f>
        <v>0</v>
      </c>
      <c r="P42" s="60">
        <f>ROW()-ROW(budgetMilestone4[#Headers])</f>
        <v>25</v>
      </c>
      <c r="Q42" s="60">
        <f>IF(budgetMilestone4[row] &lt;= numCategories +3, budgetMilestone4[row]-1, MOD(budgetMilestone4[row]-1,numCategories+3) + IF(MOD(budgetMilestone4[row]-2,numCategories+2)&gt;numCategories+1, 1,0))</f>
        <v>2</v>
      </c>
      <c r="R42" s="60">
        <f>IFERROR(INDEX(directors[Last],MAX(1,FLOOR((budgetMilestone4[row]-1)/(numCategories+3)+1,1))),1)</f>
        <v>0</v>
      </c>
    </row>
    <row r="43" spans="1:18" ht="15" customHeight="1" x14ac:dyDescent="0.25">
      <c r="A43" s="105" t="str">
        <f ca="1"/>
        <v>Communication &amp; Publication</v>
      </c>
      <c r="B43" s="105">
        <f ca="1"/>
        <v>0</v>
      </c>
      <c r="C43" s="105">
        <f ca="1"/>
        <v>0</v>
      </c>
      <c r="D43" s="105">
        <f ca="1"/>
        <v>0</v>
      </c>
      <c r="E43" s="105">
        <f ca="1"/>
        <v>0</v>
      </c>
      <c r="F43" s="105">
        <f ca="1"/>
        <v>0</v>
      </c>
      <c r="G43" s="105">
        <f ca="1"/>
        <v>0</v>
      </c>
      <c r="H43" s="60"/>
      <c r="I43"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Communication &amp; Publication</v>
      </c>
      <c r="J43" s="60">
        <f>budgetMilestone1[[#This Row],[Milestone 1]]</f>
        <v>0</v>
      </c>
      <c r="K43" s="60">
        <f>budgetMilestone2[[#This Row],[Milestone 2]]</f>
        <v>0</v>
      </c>
      <c r="L43" s="60">
        <f>budgetMilestone3[[#This Row],[Milestone 3]]</f>
        <v>0</v>
      </c>
      <c r="M43" s="60">
        <f>SUMIFS(ARF[Amount in Euro], ARF[Co Director],budgetMilestone4[director], ARF[Category], budgetMilestone4[Category], ARF[Date], "&gt;" &amp; cleanDateMilestone3,ARF[Date], "&lt;=" &amp; cleanDateMilestone4)</f>
        <v>0</v>
      </c>
      <c r="N43" s="85">
        <f ca="1">'Milestone 4'!$F43</f>
        <v>0</v>
      </c>
      <c r="O43" s="60">
        <f ca="1">SUM(budgetMilestone4[[#This Row],[Milestone 1]:[Final]])</f>
        <v>0</v>
      </c>
      <c r="P43" s="60">
        <f>ROW()-ROW(budgetMilestone4[#Headers])</f>
        <v>26</v>
      </c>
      <c r="Q43" s="60">
        <f>IF(budgetMilestone4[row] &lt;= numCategories +3, budgetMilestone4[row]-1, MOD(budgetMilestone4[row]-1,numCategories+3) + IF(MOD(budgetMilestone4[row]-2,numCategories+2)&gt;numCategories+1, 1,0))</f>
        <v>3</v>
      </c>
      <c r="R43" s="60">
        <f>IFERROR(INDEX(directors[Last],MAX(1,FLOOR((budgetMilestone4[row]-1)/(numCategories+3)+1,1))),1)</f>
        <v>0</v>
      </c>
    </row>
    <row r="44" spans="1:18" ht="15" customHeight="1" x14ac:dyDescent="0.25">
      <c r="A44" s="105" t="str">
        <f ca="1"/>
        <v>Travel</v>
      </c>
      <c r="B44" s="105">
        <f ca="1"/>
        <v>0</v>
      </c>
      <c r="C44" s="105">
        <f ca="1"/>
        <v>0</v>
      </c>
      <c r="D44" s="105">
        <f ca="1"/>
        <v>0</v>
      </c>
      <c r="E44" s="105">
        <f ca="1"/>
        <v>0</v>
      </c>
      <c r="F44" s="105">
        <f ca="1"/>
        <v>0</v>
      </c>
      <c r="G44" s="105">
        <f ca="1"/>
        <v>0</v>
      </c>
      <c r="H44" s="60"/>
      <c r="I44"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Travel</v>
      </c>
      <c r="J44" s="60">
        <f>budgetMilestone1[[#This Row],[Milestone 1]]</f>
        <v>0</v>
      </c>
      <c r="K44" s="60">
        <f>budgetMilestone2[[#This Row],[Milestone 2]]</f>
        <v>0</v>
      </c>
      <c r="L44" s="60">
        <f>budgetMilestone3[[#This Row],[Milestone 3]]</f>
        <v>0</v>
      </c>
      <c r="M44" s="60">
        <f>SUMIFS(ARF[Amount in Euro], ARF[Co Director],budgetMilestone4[director], ARF[Category], budgetMilestone4[Category], ARF[Date], "&gt;" &amp; cleanDateMilestone3,ARF[Date], "&lt;=" &amp; cleanDateMilestone4)</f>
        <v>0</v>
      </c>
      <c r="N44" s="85">
        <f ca="1">'Milestone 4'!$F44</f>
        <v>0</v>
      </c>
      <c r="O44" s="60">
        <f ca="1">SUM(budgetMilestone4[[#This Row],[Milestone 1]:[Final]])</f>
        <v>0</v>
      </c>
      <c r="P44" s="60">
        <f>ROW()-ROW(budgetMilestone4[#Headers])</f>
        <v>27</v>
      </c>
      <c r="Q44" s="60">
        <f>IF(budgetMilestone4[row] &lt;= numCategories +3, budgetMilestone4[row]-1, MOD(budgetMilestone4[row]-1,numCategories+3) + IF(MOD(budgetMilestone4[row]-2,numCategories+2)&gt;numCategories+1, 1,0))</f>
        <v>4</v>
      </c>
      <c r="R44" s="60">
        <f>IFERROR(INDEX(directors[Last],MAX(1,FLOOR((budgetMilestone4[row]-1)/(numCategories+3)+1,1))),1)</f>
        <v>0</v>
      </c>
    </row>
    <row r="45" spans="1:18" ht="15" customHeight="1" x14ac:dyDescent="0.25">
      <c r="A45" s="105" t="str">
        <f ca="1"/>
        <v>Consumables</v>
      </c>
      <c r="B45" s="105">
        <f ca="1"/>
        <v>0</v>
      </c>
      <c r="C45" s="105">
        <f ca="1"/>
        <v>0</v>
      </c>
      <c r="D45" s="105">
        <f ca="1"/>
        <v>0</v>
      </c>
      <c r="E45" s="105">
        <f ca="1"/>
        <v>0</v>
      </c>
      <c r="F45" s="105">
        <f ca="1"/>
        <v>0</v>
      </c>
      <c r="G45" s="105">
        <f ca="1"/>
        <v>0</v>
      </c>
      <c r="H45" s="60"/>
      <c r="I45"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Consumables</v>
      </c>
      <c r="J45" s="60">
        <f>budgetMilestone1[[#This Row],[Milestone 1]]</f>
        <v>0</v>
      </c>
      <c r="K45" s="60">
        <f>budgetMilestone2[[#This Row],[Milestone 2]]</f>
        <v>0</v>
      </c>
      <c r="L45" s="60">
        <f>budgetMilestone3[[#This Row],[Milestone 3]]</f>
        <v>0</v>
      </c>
      <c r="M45" s="60">
        <f>SUMIFS(ARF[Amount in Euro], ARF[Co Director],budgetMilestone4[director], ARF[Category], budgetMilestone4[Category], ARF[Date], "&gt;" &amp; cleanDateMilestone3,ARF[Date], "&lt;=" &amp; cleanDateMilestone4)</f>
        <v>0</v>
      </c>
      <c r="N45" s="85">
        <f ca="1">'Milestone 4'!$F45</f>
        <v>0</v>
      </c>
      <c r="O45" s="60">
        <f ca="1">SUM(budgetMilestone4[[#This Row],[Milestone 1]:[Final]])</f>
        <v>0</v>
      </c>
      <c r="P45" s="60">
        <f>ROW()-ROW(budgetMilestone4[#Headers])</f>
        <v>28</v>
      </c>
      <c r="Q45" s="60">
        <f>IF(budgetMilestone4[row] &lt;= numCategories +3, budgetMilestone4[row]-1, MOD(budgetMilestone4[row]-1,numCategories+3) + IF(MOD(budgetMilestone4[row]-2,numCategories+2)&gt;numCategories+1, 1,0))</f>
        <v>5</v>
      </c>
      <c r="R45" s="60">
        <f>IFERROR(INDEX(directors[Last],MAX(1,FLOOR((budgetMilestone4[row]-1)/(numCategories+3)+1,1))),1)</f>
        <v>0</v>
      </c>
    </row>
    <row r="46" spans="1:18" ht="15" customHeight="1" x14ac:dyDescent="0.25">
      <c r="A46" s="105" t="str">
        <f ca="1"/>
        <v>Other</v>
      </c>
      <c r="B46" s="105">
        <f ca="1"/>
        <v>0</v>
      </c>
      <c r="C46" s="105">
        <f ca="1"/>
        <v>0</v>
      </c>
      <c r="D46" s="105">
        <f ca="1"/>
        <v>0</v>
      </c>
      <c r="E46" s="105">
        <f ca="1"/>
        <v>0</v>
      </c>
      <c r="F46" s="105">
        <f ca="1"/>
        <v>0</v>
      </c>
      <c r="G46" s="105">
        <f ca="1"/>
        <v>0</v>
      </c>
      <c r="H46" s="60"/>
      <c r="I46"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Other</v>
      </c>
      <c r="J46" s="60">
        <f>budgetMilestone1[[#This Row],[Milestone 1]]</f>
        <v>0</v>
      </c>
      <c r="K46" s="60">
        <f>budgetMilestone2[[#This Row],[Milestone 2]]</f>
        <v>0</v>
      </c>
      <c r="L46" s="60">
        <f>budgetMilestone3[[#This Row],[Milestone 3]]</f>
        <v>0</v>
      </c>
      <c r="M46" s="60">
        <f>SUMIFS(ARF[Amount in Euro], ARF[Co Director],budgetMilestone4[director], ARF[Category], budgetMilestone4[Category], ARF[Date], "&gt;" &amp; cleanDateMilestone3,ARF[Date], "&lt;=" &amp; cleanDateMilestone4)</f>
        <v>0</v>
      </c>
      <c r="N46" s="85">
        <f ca="1">'Milestone 4'!$F46</f>
        <v>0</v>
      </c>
      <c r="O46" s="60">
        <f ca="1">SUM(budgetMilestone4[[#This Row],[Milestone 1]:[Final]])</f>
        <v>0</v>
      </c>
      <c r="P46" s="60">
        <f>ROW()-ROW(budgetMilestone4[#Headers])</f>
        <v>29</v>
      </c>
      <c r="Q46" s="60">
        <f>IF(budgetMilestone4[row] &lt;= numCategories +3, budgetMilestone4[row]-1, MOD(budgetMilestone4[row]-1,numCategories+3) + IF(MOD(budgetMilestone4[row]-2,numCategories+2)&gt;numCategories+1, 1,0))</f>
        <v>6</v>
      </c>
      <c r="R46" s="60">
        <f>IFERROR(INDEX(directors[Last],MAX(1,FLOOR((budgetMilestone4[row]-1)/(numCategories+3)+1,1))),1)</f>
        <v>0</v>
      </c>
    </row>
    <row r="47" spans="1:18" ht="15" customHeight="1" x14ac:dyDescent="0.25">
      <c r="A47" s="105" t="str">
        <f ca="1"/>
        <v>Stipends</v>
      </c>
      <c r="B47" s="105">
        <f ca="1"/>
        <v>0</v>
      </c>
      <c r="C47" s="105">
        <f ca="1"/>
        <v>0</v>
      </c>
      <c r="D47" s="105">
        <f ca="1"/>
        <v>0</v>
      </c>
      <c r="E47" s="105">
        <f ca="1"/>
        <v>0</v>
      </c>
      <c r="F47" s="105">
        <f ca="1"/>
        <v>0</v>
      </c>
      <c r="G47" s="105">
        <f ca="1"/>
        <v>0</v>
      </c>
      <c r="H47" s="60"/>
      <c r="I47"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Stipends</v>
      </c>
      <c r="J47" s="60">
        <f>budgetMilestone1[[#This Row],[Milestone 1]]</f>
        <v>0</v>
      </c>
      <c r="K47" s="60">
        <f>budgetMilestone2[[#This Row],[Milestone 2]]</f>
        <v>0</v>
      </c>
      <c r="L47" s="60">
        <f>budgetMilestone3[[#This Row],[Milestone 3]]</f>
        <v>0</v>
      </c>
      <c r="M47" s="60">
        <f>SUMIFS(ARF[Amount in Euro], ARF[Co Director],budgetMilestone4[director], ARF[Category], budgetMilestone4[Category], ARF[Date], "&gt;" &amp; cleanDateMilestone3,ARF[Date], "&lt;=" &amp; cleanDateMilestone4)</f>
        <v>0</v>
      </c>
      <c r="N47" s="85">
        <f ca="1">'Milestone 4'!$F47</f>
        <v>0</v>
      </c>
      <c r="O47" s="60">
        <f ca="1">SUM(budgetMilestone4[[#This Row],[Milestone 1]:[Final]])</f>
        <v>0</v>
      </c>
      <c r="P47" s="60">
        <f>ROW()-ROW(budgetMilestone4[#Headers])</f>
        <v>30</v>
      </c>
      <c r="Q47" s="60">
        <f>IF(budgetMilestone4[row] &lt;= numCategories +3, budgetMilestone4[row]-1, MOD(budgetMilestone4[row]-1,numCategories+3) + IF(MOD(budgetMilestone4[row]-2,numCategories+2)&gt;numCategories+1, 1,0))</f>
        <v>7</v>
      </c>
      <c r="R47" s="60">
        <f>IFERROR(INDEX(directors[Last],MAX(1,FLOOR((budgetMilestone4[row]-1)/(numCategories+3)+1,1))),1)</f>
        <v>0</v>
      </c>
    </row>
    <row r="48" spans="1:18" ht="15" customHeight="1" x14ac:dyDescent="0.25">
      <c r="A48" s="105" t="str">
        <f ca="1"/>
        <v>Co-financing of personnel</v>
      </c>
      <c r="B48" s="105">
        <f ca="1"/>
        <v>0</v>
      </c>
      <c r="C48" s="105">
        <f ca="1"/>
        <v>0</v>
      </c>
      <c r="D48" s="105">
        <f ca="1"/>
        <v>0</v>
      </c>
      <c r="E48" s="105">
        <f ca="1"/>
        <v>0</v>
      </c>
      <c r="F48" s="105">
        <f ca="1"/>
        <v>0</v>
      </c>
      <c r="G48" s="105">
        <f ca="1"/>
        <v>0</v>
      </c>
      <c r="H48" s="60"/>
      <c r="I48"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Co-financing of personnel</v>
      </c>
      <c r="J48" s="60">
        <f>budgetMilestone1[[#This Row],[Milestone 1]]</f>
        <v>0</v>
      </c>
      <c r="K48" s="60">
        <f>budgetMilestone2[[#This Row],[Milestone 2]]</f>
        <v>0</v>
      </c>
      <c r="L48" s="60">
        <f>budgetMilestone3[[#This Row],[Milestone 3]]</f>
        <v>0</v>
      </c>
      <c r="M48" s="60">
        <f>SUMIFS(ARF[Amount in Euro], ARF[Co Director],budgetMilestone4[director], ARF[Category], budgetMilestone4[Category], ARF[Date], "&gt;" &amp; cleanDateMilestone3,ARF[Date], "&lt;=" &amp; cleanDateMilestone4)</f>
        <v>0</v>
      </c>
      <c r="N48" s="85">
        <f ca="1">'Milestone 4'!$F48</f>
        <v>0</v>
      </c>
      <c r="O48" s="60">
        <f ca="1">SUM(budgetMilestone4[[#This Row],[Milestone 1]:[Final]])</f>
        <v>0</v>
      </c>
      <c r="P48" s="60">
        <f>ROW()-ROW(budgetMilestone4[#Headers])</f>
        <v>31</v>
      </c>
      <c r="Q48" s="60">
        <f>IF(budgetMilestone4[row] &lt;= numCategories +3, budgetMilestone4[row]-1, MOD(budgetMilestone4[row]-1,numCategories+3) + IF(MOD(budgetMilestone4[row]-2,numCategories+2)&gt;numCategories+1, 1,0))</f>
        <v>8</v>
      </c>
      <c r="R48" s="60">
        <f>IFERROR(INDEX(directors[Last],MAX(1,FLOOR((budgetMilestone4[row]-1)/(numCategories+3)+1,1))),1)</f>
        <v>0</v>
      </c>
    </row>
    <row r="49" spans="1:18" ht="15" customHeight="1" x14ac:dyDescent="0.25">
      <c r="A49" s="105" t="str">
        <f ca="1"/>
        <v>Subtotal 0</v>
      </c>
      <c r="B49" s="105">
        <f ca="1"/>
        <v>0</v>
      </c>
      <c r="C49" s="105">
        <f ca="1"/>
        <v>0</v>
      </c>
      <c r="D49" s="105">
        <f ca="1"/>
        <v>0</v>
      </c>
      <c r="E49" s="105">
        <f ca="1"/>
        <v>0</v>
      </c>
      <c r="F49" s="105">
        <f ca="1"/>
        <v>0</v>
      </c>
      <c r="G49" s="105">
        <f ca="1"/>
        <v>0</v>
      </c>
      <c r="H49" s="60"/>
      <c r="I49"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Subtotal 0</v>
      </c>
      <c r="J49" s="60">
        <f>budgetMilestone1[[#This Row],[Milestone 1]]</f>
        <v>0</v>
      </c>
      <c r="K49" s="60">
        <f>budgetMilestone2[[#This Row],[Milestone 2]]</f>
        <v>0</v>
      </c>
      <c r="L49" s="60">
        <f>budgetMilestone3[[#This Row],[Milestone 3]]</f>
        <v>0</v>
      </c>
      <c r="M49" s="60">
        <f t="shared" ref="M49:O93" si="2">SUBTOTAL(9,M41:M48)</f>
        <v>0</v>
      </c>
      <c r="N49" s="60">
        <f t="shared" ca="1" si="2"/>
        <v>0</v>
      </c>
      <c r="O49" s="60">
        <f t="shared" ca="1" si="2"/>
        <v>0</v>
      </c>
      <c r="P49" s="60">
        <f>ROW()-ROW(budgetMilestone4[#Headers])</f>
        <v>32</v>
      </c>
      <c r="Q49" s="60">
        <f>IF(budgetMilestone4[row] &lt;= numCategories +3, budgetMilestone4[row]-1, MOD(budgetMilestone4[row]-1,numCategories+3) + IF(MOD(budgetMilestone4[row]-2,numCategories+2)&gt;numCategories+1, 1,0))</f>
        <v>9</v>
      </c>
      <c r="R49" s="60">
        <f>IFERROR(INDEX(directors[Last],MAX(1,FLOOR((budgetMilestone4[row]-1)/(numCategories+3)+1,1))),1)</f>
        <v>0</v>
      </c>
    </row>
    <row r="50" spans="1:18" ht="15" customHeight="1" x14ac:dyDescent="0.25">
      <c r="A50" s="105" t="str">
        <f ca="1"/>
        <v/>
      </c>
      <c r="B50" s="105">
        <f ca="1"/>
        <v>0</v>
      </c>
      <c r="C50" s="105">
        <f ca="1"/>
        <v>0</v>
      </c>
      <c r="D50" s="105">
        <f ca="1"/>
        <v>0</v>
      </c>
      <c r="E50" s="105">
        <f ca="1"/>
        <v>0</v>
      </c>
      <c r="F50" s="105">
        <f ca="1"/>
        <v>0</v>
      </c>
      <c r="G50" s="105">
        <f ca="1"/>
        <v>0</v>
      </c>
      <c r="H50" s="60"/>
      <c r="I50"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c>
      <c r="J50" s="60">
        <f>budgetMilestone1[[#This Row],[Milestone 1]]</f>
        <v>0</v>
      </c>
      <c r="K50" s="60">
        <f>budgetMilestone2[[#This Row],[Milestone 2]]</f>
        <v>0</v>
      </c>
      <c r="L50" s="60">
        <f>budgetMilestone3[[#This Row],[Milestone 3]]</f>
        <v>0</v>
      </c>
      <c r="M50" s="60"/>
      <c r="N50" s="60"/>
      <c r="O50" s="60"/>
      <c r="P50" s="60">
        <f>ROW()-ROW(budgetMilestone4[#Headers])</f>
        <v>33</v>
      </c>
      <c r="Q50" s="60">
        <f>IF(budgetMilestone4[row] &lt;= numCategories +3, budgetMilestone4[row]-1, MOD(budgetMilestone4[row]-1,numCategories+3) + IF(MOD(budgetMilestone4[row]-2,numCategories+2)&gt;numCategories+1, 1,0))</f>
        <v>10</v>
      </c>
      <c r="R50" s="60">
        <f>IFERROR(INDEX(directors[Last],MAX(1,FLOOR((budgetMilestone4[row]-1)/(numCategories+3)+1,1))),1)</f>
        <v>0</v>
      </c>
    </row>
    <row r="51" spans="1:18" ht="15" customHeight="1" x14ac:dyDescent="0.25">
      <c r="A51" s="105" t="str">
        <f ca="1"/>
        <v xml:space="preserve">0 / </v>
      </c>
      <c r="B51" s="105">
        <f ca="1"/>
        <v>0</v>
      </c>
      <c r="C51" s="105">
        <f ca="1"/>
        <v>0</v>
      </c>
      <c r="D51" s="105">
        <f ca="1"/>
        <v>0</v>
      </c>
      <c r="E51" s="105">
        <f ca="1"/>
        <v>0</v>
      </c>
      <c r="F51" s="105">
        <f ca="1"/>
        <v>0</v>
      </c>
      <c r="G51" s="105">
        <f ca="1"/>
        <v>0</v>
      </c>
      <c r="H51" s="60"/>
      <c r="I51"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xml:space="preserve">0 / </v>
      </c>
      <c r="J51" s="60">
        <f>budgetMilestone1[[#This Row],[Milestone 1]]</f>
        <v>0</v>
      </c>
      <c r="K51" s="60">
        <f>budgetMilestone2[[#This Row],[Milestone 2]]</f>
        <v>0</v>
      </c>
      <c r="L51" s="60">
        <f>budgetMilestone3[[#This Row],[Milestone 3]]</f>
        <v>0</v>
      </c>
      <c r="M51" s="60"/>
      <c r="N51" s="60"/>
      <c r="O51" s="60"/>
      <c r="P51" s="60">
        <f>ROW()-ROW(budgetMilestone4[#Headers])</f>
        <v>34</v>
      </c>
      <c r="Q51" s="60">
        <f>IF(budgetMilestone4[row] &lt;= numCategories +3, budgetMilestone4[row]-1, MOD(budgetMilestone4[row]-1,numCategories+3) + IF(MOD(budgetMilestone4[row]-2,numCategories+2)&gt;numCategories+1, 1,0))</f>
        <v>0</v>
      </c>
      <c r="R51" s="60">
        <f>IFERROR(INDEX(directors[Last],MAX(1,FLOOR((budgetMilestone4[row]-1)/(numCategories+3)+1,1))),1)</f>
        <v>0</v>
      </c>
    </row>
    <row r="52" spans="1:18" ht="15" customHeight="1" x14ac:dyDescent="0.25">
      <c r="A52" s="105" t="str">
        <f ca="1"/>
        <v>Equipment</v>
      </c>
      <c r="B52" s="105">
        <f ca="1"/>
        <v>0</v>
      </c>
      <c r="C52" s="105">
        <f ca="1"/>
        <v>0</v>
      </c>
      <c r="D52" s="105">
        <f ca="1"/>
        <v>0</v>
      </c>
      <c r="E52" s="105">
        <f ca="1"/>
        <v>0</v>
      </c>
      <c r="F52" s="105">
        <f ca="1"/>
        <v>0</v>
      </c>
      <c r="G52" s="105">
        <f ca="1"/>
        <v>0</v>
      </c>
      <c r="H52" s="60"/>
      <c r="I52"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Equipment</v>
      </c>
      <c r="J52" s="60">
        <f>budgetMilestone1[[#This Row],[Milestone 1]]</f>
        <v>0</v>
      </c>
      <c r="K52" s="60">
        <f>budgetMilestone2[[#This Row],[Milestone 2]]</f>
        <v>0</v>
      </c>
      <c r="L52" s="60">
        <f>budgetMilestone3[[#This Row],[Milestone 3]]</f>
        <v>0</v>
      </c>
      <c r="M52" s="60">
        <f>SUMIFS(ARF[Amount in Euro], ARF[Co Director],budgetMilestone4[director], ARF[Category], budgetMilestone4[Category], ARF[Date], "&gt;" &amp; cleanDateMilestone3,ARF[Date], "&lt;=" &amp; cleanDateMilestone4)</f>
        <v>0</v>
      </c>
      <c r="N52" s="85">
        <f ca="1">'Milestone 4'!$F52</f>
        <v>0</v>
      </c>
      <c r="O52" s="60">
        <f ca="1">SUM(budgetMilestone4[[#This Row],[Milestone 1]:[Final]])</f>
        <v>0</v>
      </c>
      <c r="P52" s="60">
        <f>ROW()-ROW(budgetMilestone4[#Headers])</f>
        <v>35</v>
      </c>
      <c r="Q52" s="60">
        <f>IF(budgetMilestone4[row] &lt;= numCategories +3, budgetMilestone4[row]-1, MOD(budgetMilestone4[row]-1,numCategories+3) + IF(MOD(budgetMilestone4[row]-2,numCategories+2)&gt;numCategories+1, 1,0))</f>
        <v>1</v>
      </c>
      <c r="R52" s="60">
        <f>IFERROR(INDEX(directors[Last],MAX(1,FLOOR((budgetMilestone4[row]-1)/(numCategories+3)+1,1))),1)</f>
        <v>0</v>
      </c>
    </row>
    <row r="53" spans="1:18" ht="15" customHeight="1" x14ac:dyDescent="0.25">
      <c r="A53" s="105" t="str">
        <f ca="1"/>
        <v>Training</v>
      </c>
      <c r="B53" s="105">
        <f ca="1"/>
        <v>0</v>
      </c>
      <c r="C53" s="105">
        <f ca="1"/>
        <v>0</v>
      </c>
      <c r="D53" s="105">
        <f ca="1"/>
        <v>0</v>
      </c>
      <c r="E53" s="105">
        <f ca="1"/>
        <v>0</v>
      </c>
      <c r="F53" s="105">
        <f ca="1"/>
        <v>0</v>
      </c>
      <c r="G53" s="105">
        <f ca="1"/>
        <v>0</v>
      </c>
      <c r="H53" s="60"/>
      <c r="I53"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Training</v>
      </c>
      <c r="J53" s="60">
        <f>budgetMilestone1[[#This Row],[Milestone 1]]</f>
        <v>0</v>
      </c>
      <c r="K53" s="60">
        <f>budgetMilestone2[[#This Row],[Milestone 2]]</f>
        <v>0</v>
      </c>
      <c r="L53" s="60">
        <f>budgetMilestone3[[#This Row],[Milestone 3]]</f>
        <v>0</v>
      </c>
      <c r="M53" s="60">
        <f>SUMIFS(ARF[Amount in Euro], ARF[Co Director],budgetMilestone4[director], ARF[Category], budgetMilestone4[Category], ARF[Date], "&gt;" &amp; cleanDateMilestone3,ARF[Date], "&lt;=" &amp; cleanDateMilestone4)</f>
        <v>0</v>
      </c>
      <c r="N53" s="85">
        <f ca="1">'Milestone 4'!$F53</f>
        <v>0</v>
      </c>
      <c r="O53" s="60">
        <f ca="1">SUM(budgetMilestone4[[#This Row],[Milestone 1]:[Final]])</f>
        <v>0</v>
      </c>
      <c r="P53" s="60">
        <f>ROW()-ROW(budgetMilestone4[#Headers])</f>
        <v>36</v>
      </c>
      <c r="Q53" s="60">
        <f>IF(budgetMilestone4[row] &lt;= numCategories +3, budgetMilestone4[row]-1, MOD(budgetMilestone4[row]-1,numCategories+3) + IF(MOD(budgetMilestone4[row]-2,numCategories+2)&gt;numCategories+1, 1,0))</f>
        <v>2</v>
      </c>
      <c r="R53" s="60">
        <f>IFERROR(INDEX(directors[Last],MAX(1,FLOOR((budgetMilestone4[row]-1)/(numCategories+3)+1,1))),1)</f>
        <v>0</v>
      </c>
    </row>
    <row r="54" spans="1:18" ht="15" customHeight="1" x14ac:dyDescent="0.25">
      <c r="A54" s="105" t="str">
        <f ca="1"/>
        <v>Communication &amp; Publication</v>
      </c>
      <c r="B54" s="105">
        <f ca="1"/>
        <v>0</v>
      </c>
      <c r="C54" s="105">
        <f ca="1"/>
        <v>0</v>
      </c>
      <c r="D54" s="105">
        <f ca="1"/>
        <v>0</v>
      </c>
      <c r="E54" s="105">
        <f ca="1"/>
        <v>0</v>
      </c>
      <c r="F54" s="105">
        <f ca="1"/>
        <v>0</v>
      </c>
      <c r="G54" s="105">
        <f ca="1"/>
        <v>0</v>
      </c>
      <c r="H54" s="60"/>
      <c r="I54"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Communication &amp; Publication</v>
      </c>
      <c r="J54" s="60">
        <f>budgetMilestone1[[#This Row],[Milestone 1]]</f>
        <v>0</v>
      </c>
      <c r="K54" s="60">
        <f>budgetMilestone2[[#This Row],[Milestone 2]]</f>
        <v>0</v>
      </c>
      <c r="L54" s="60">
        <f>budgetMilestone3[[#This Row],[Milestone 3]]</f>
        <v>0</v>
      </c>
      <c r="M54" s="60">
        <f>SUMIFS(ARF[Amount in Euro], ARF[Co Director],budgetMilestone4[director], ARF[Category], budgetMilestone4[Category], ARF[Date], "&gt;" &amp; cleanDateMilestone3,ARF[Date], "&lt;=" &amp; cleanDateMilestone4)</f>
        <v>0</v>
      </c>
      <c r="N54" s="85">
        <f ca="1">'Milestone 4'!$F54</f>
        <v>0</v>
      </c>
      <c r="O54" s="60">
        <f ca="1">SUM(budgetMilestone4[[#This Row],[Milestone 1]:[Final]])</f>
        <v>0</v>
      </c>
      <c r="P54" s="60">
        <f>ROW()-ROW(budgetMilestone4[#Headers])</f>
        <v>37</v>
      </c>
      <c r="Q54" s="60">
        <f>IF(budgetMilestone4[row] &lt;= numCategories +3, budgetMilestone4[row]-1, MOD(budgetMilestone4[row]-1,numCategories+3) + IF(MOD(budgetMilestone4[row]-2,numCategories+2)&gt;numCategories+1, 1,0))</f>
        <v>3</v>
      </c>
      <c r="R54" s="60">
        <f>IFERROR(INDEX(directors[Last],MAX(1,FLOOR((budgetMilestone4[row]-1)/(numCategories+3)+1,1))),1)</f>
        <v>0</v>
      </c>
    </row>
    <row r="55" spans="1:18" ht="15" customHeight="1" x14ac:dyDescent="0.25">
      <c r="A55" s="105" t="str">
        <f ca="1"/>
        <v>Travel</v>
      </c>
      <c r="B55" s="105">
        <f ca="1"/>
        <v>0</v>
      </c>
      <c r="C55" s="105">
        <f ca="1"/>
        <v>0</v>
      </c>
      <c r="D55" s="105">
        <f ca="1"/>
        <v>0</v>
      </c>
      <c r="E55" s="105">
        <f ca="1"/>
        <v>0</v>
      </c>
      <c r="F55" s="105">
        <f ca="1"/>
        <v>0</v>
      </c>
      <c r="G55" s="105">
        <f ca="1"/>
        <v>0</v>
      </c>
      <c r="H55" s="60"/>
      <c r="I55"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Travel</v>
      </c>
      <c r="J55" s="60">
        <f>budgetMilestone1[[#This Row],[Milestone 1]]</f>
        <v>0</v>
      </c>
      <c r="K55" s="60">
        <f>budgetMilestone2[[#This Row],[Milestone 2]]</f>
        <v>0</v>
      </c>
      <c r="L55" s="60">
        <f>budgetMilestone3[[#This Row],[Milestone 3]]</f>
        <v>0</v>
      </c>
      <c r="M55" s="60">
        <f>SUMIFS(ARF[Amount in Euro], ARF[Co Director],budgetMilestone4[director], ARF[Category], budgetMilestone4[Category], ARF[Date], "&gt;" &amp; cleanDateMilestone3,ARF[Date], "&lt;=" &amp; cleanDateMilestone4)</f>
        <v>0</v>
      </c>
      <c r="N55" s="85">
        <f ca="1">'Milestone 4'!$F55</f>
        <v>0</v>
      </c>
      <c r="O55" s="60">
        <f ca="1">SUM(budgetMilestone4[[#This Row],[Milestone 1]:[Final]])</f>
        <v>0</v>
      </c>
      <c r="P55" s="61">
        <f>ROW()-ROW(budgetMilestone4[#Headers])</f>
        <v>38</v>
      </c>
      <c r="Q55" s="61">
        <f>IF(budgetMilestone4[row] &lt;= numCategories +3, budgetMilestone4[row]-1, MOD(budgetMilestone4[row]-1,numCategories+3) + IF(MOD(budgetMilestone4[row]-2,numCategories+2)&gt;numCategories+1, 1,0))</f>
        <v>4</v>
      </c>
      <c r="R55" s="60">
        <f>IFERROR(INDEX(directors[Last],MAX(1,FLOOR((budgetMilestone4[row]-1)/(numCategories+3)+1,1))),1)</f>
        <v>0</v>
      </c>
    </row>
    <row r="56" spans="1:18" ht="15" customHeight="1" x14ac:dyDescent="0.25">
      <c r="A56" s="105" t="str">
        <f ca="1"/>
        <v>Consumables</v>
      </c>
      <c r="B56" s="105">
        <f ca="1"/>
        <v>0</v>
      </c>
      <c r="C56" s="105">
        <f ca="1"/>
        <v>0</v>
      </c>
      <c r="D56" s="105">
        <f ca="1"/>
        <v>0</v>
      </c>
      <c r="E56" s="105">
        <f ca="1"/>
        <v>0</v>
      </c>
      <c r="F56" s="105">
        <f ca="1"/>
        <v>0</v>
      </c>
      <c r="G56" s="105">
        <f ca="1"/>
        <v>0</v>
      </c>
      <c r="H56" s="60"/>
      <c r="I56"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Consumables</v>
      </c>
      <c r="J56" s="60">
        <f>budgetMilestone1[[#This Row],[Milestone 1]]</f>
        <v>0</v>
      </c>
      <c r="K56" s="60">
        <f>budgetMilestone2[[#This Row],[Milestone 2]]</f>
        <v>0</v>
      </c>
      <c r="L56" s="60">
        <f>budgetMilestone3[[#This Row],[Milestone 3]]</f>
        <v>0</v>
      </c>
      <c r="M56" s="60">
        <f>SUMIFS(ARF[Amount in Euro], ARF[Co Director],budgetMilestone4[director], ARF[Category], budgetMilestone4[Category], ARF[Date], "&gt;" &amp; cleanDateMilestone3,ARF[Date], "&lt;=" &amp; cleanDateMilestone4)</f>
        <v>0</v>
      </c>
      <c r="N56" s="85">
        <f ca="1">'Milestone 4'!$F56</f>
        <v>0</v>
      </c>
      <c r="O56" s="60">
        <f ca="1">SUM(budgetMilestone4[[#This Row],[Milestone 1]:[Final]])</f>
        <v>0</v>
      </c>
      <c r="P56" s="60">
        <f>ROW()-ROW(budgetMilestone4[#Headers])</f>
        <v>39</v>
      </c>
      <c r="Q56" s="60">
        <f>IF(budgetMilestone4[row] &lt;= numCategories +3, budgetMilestone4[row]-1, MOD(budgetMilestone4[row]-1,numCategories+3) + IF(MOD(budgetMilestone4[row]-2,numCategories+2)&gt;numCategories+1, 1,0))</f>
        <v>5</v>
      </c>
      <c r="R56" s="60">
        <f>IFERROR(INDEX(directors[Last],MAX(1,FLOOR((budgetMilestone4[row]-1)/(numCategories+3)+1,1))),1)</f>
        <v>0</v>
      </c>
    </row>
    <row r="57" spans="1:18" ht="15" customHeight="1" x14ac:dyDescent="0.25">
      <c r="A57" s="105" t="str">
        <f ca="1"/>
        <v>Other</v>
      </c>
      <c r="B57" s="105">
        <f ca="1"/>
        <v>0</v>
      </c>
      <c r="C57" s="105">
        <f ca="1"/>
        <v>0</v>
      </c>
      <c r="D57" s="105">
        <f ca="1"/>
        <v>0</v>
      </c>
      <c r="E57" s="105">
        <f ca="1"/>
        <v>0</v>
      </c>
      <c r="F57" s="105">
        <f ca="1"/>
        <v>0</v>
      </c>
      <c r="G57" s="105">
        <f ca="1"/>
        <v>0</v>
      </c>
      <c r="H57" s="60"/>
      <c r="I57"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Other</v>
      </c>
      <c r="J57" s="60">
        <f>budgetMilestone1[[#This Row],[Milestone 1]]</f>
        <v>0</v>
      </c>
      <c r="K57" s="60">
        <f>budgetMilestone2[[#This Row],[Milestone 2]]</f>
        <v>0</v>
      </c>
      <c r="L57" s="60">
        <f>budgetMilestone3[[#This Row],[Milestone 3]]</f>
        <v>0</v>
      </c>
      <c r="M57" s="60">
        <f>SUMIFS(ARF[Amount in Euro], ARF[Co Director],budgetMilestone4[director], ARF[Category], budgetMilestone4[Category], ARF[Date], "&gt;" &amp; cleanDateMilestone3,ARF[Date], "&lt;=" &amp; cleanDateMilestone4)</f>
        <v>0</v>
      </c>
      <c r="N57" s="85">
        <f ca="1">'Milestone 4'!$F57</f>
        <v>0</v>
      </c>
      <c r="O57" s="60">
        <f ca="1">SUM(budgetMilestone4[[#This Row],[Milestone 1]:[Final]])</f>
        <v>0</v>
      </c>
      <c r="P57" s="60">
        <f>ROW()-ROW(budgetMilestone4[#Headers])</f>
        <v>40</v>
      </c>
      <c r="Q57" s="60">
        <f>IF(budgetMilestone4[row] &lt;= numCategories +3, budgetMilestone4[row]-1, MOD(budgetMilestone4[row]-1,numCategories+3) + IF(MOD(budgetMilestone4[row]-2,numCategories+2)&gt;numCategories+1, 1,0))</f>
        <v>6</v>
      </c>
      <c r="R57" s="60">
        <f>IFERROR(INDEX(directors[Last],MAX(1,FLOOR((budgetMilestone4[row]-1)/(numCategories+3)+1,1))),1)</f>
        <v>0</v>
      </c>
    </row>
    <row r="58" spans="1:18" ht="15" customHeight="1" x14ac:dyDescent="0.25">
      <c r="A58" s="105" t="str">
        <f ca="1"/>
        <v>Stipends</v>
      </c>
      <c r="B58" s="105">
        <f ca="1"/>
        <v>0</v>
      </c>
      <c r="C58" s="105">
        <f ca="1"/>
        <v>0</v>
      </c>
      <c r="D58" s="105">
        <f ca="1"/>
        <v>0</v>
      </c>
      <c r="E58" s="105">
        <f ca="1"/>
        <v>0</v>
      </c>
      <c r="F58" s="105">
        <f ca="1"/>
        <v>0</v>
      </c>
      <c r="G58" s="105">
        <f ca="1"/>
        <v>0</v>
      </c>
      <c r="H58" s="60"/>
      <c r="I58"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Stipends</v>
      </c>
      <c r="J58" s="60">
        <f>budgetMilestone1[[#This Row],[Milestone 1]]</f>
        <v>0</v>
      </c>
      <c r="K58" s="60">
        <f>budgetMilestone2[[#This Row],[Milestone 2]]</f>
        <v>0</v>
      </c>
      <c r="L58" s="60">
        <f>budgetMilestone3[[#This Row],[Milestone 3]]</f>
        <v>0</v>
      </c>
      <c r="M58" s="60">
        <f>SUMIFS(ARF[Amount in Euro], ARF[Co Director],budgetMilestone4[director], ARF[Category], budgetMilestone4[Category], ARF[Date], "&gt;" &amp; cleanDateMilestone3,ARF[Date], "&lt;=" &amp; cleanDateMilestone4)</f>
        <v>0</v>
      </c>
      <c r="N58" s="85">
        <f ca="1">'Milestone 4'!$F58</f>
        <v>0</v>
      </c>
      <c r="O58" s="60">
        <f ca="1">SUM(budgetMilestone4[[#This Row],[Milestone 1]:[Final]])</f>
        <v>0</v>
      </c>
      <c r="P58" s="60">
        <f>ROW()-ROW(budgetMilestone4[#Headers])</f>
        <v>41</v>
      </c>
      <c r="Q58" s="60">
        <f>IF(budgetMilestone4[row] &lt;= numCategories +3, budgetMilestone4[row]-1, MOD(budgetMilestone4[row]-1,numCategories+3) + IF(MOD(budgetMilestone4[row]-2,numCategories+2)&gt;numCategories+1, 1,0))</f>
        <v>7</v>
      </c>
      <c r="R58" s="60">
        <f>IFERROR(INDEX(directors[Last],MAX(1,FLOOR((budgetMilestone4[row]-1)/(numCategories+3)+1,1))),1)</f>
        <v>0</v>
      </c>
    </row>
    <row r="59" spans="1:18" ht="15" customHeight="1" x14ac:dyDescent="0.25">
      <c r="A59" s="105" t="str">
        <f ca="1"/>
        <v>Co-financing of personnel</v>
      </c>
      <c r="B59" s="105">
        <f ca="1"/>
        <v>0</v>
      </c>
      <c r="C59" s="105">
        <f ca="1"/>
        <v>0</v>
      </c>
      <c r="D59" s="105">
        <f ca="1"/>
        <v>0</v>
      </c>
      <c r="E59" s="105">
        <f ca="1"/>
        <v>0</v>
      </c>
      <c r="F59" s="105">
        <f ca="1"/>
        <v>0</v>
      </c>
      <c r="G59" s="105">
        <f ca="1"/>
        <v>0</v>
      </c>
      <c r="H59" s="60"/>
      <c r="I59"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Co-financing of personnel</v>
      </c>
      <c r="J59" s="60">
        <f>budgetMilestone1[[#This Row],[Milestone 1]]</f>
        <v>0</v>
      </c>
      <c r="K59" s="60">
        <f>budgetMilestone2[[#This Row],[Milestone 2]]</f>
        <v>0</v>
      </c>
      <c r="L59" s="60">
        <f>budgetMilestone3[[#This Row],[Milestone 3]]</f>
        <v>0</v>
      </c>
      <c r="M59" s="60">
        <f>SUMIFS(ARF[Amount in Euro], ARF[Co Director],budgetMilestone4[director], ARF[Category], budgetMilestone4[Category], ARF[Date], "&gt;" &amp; cleanDateMilestone3,ARF[Date], "&lt;=" &amp; cleanDateMilestone4)</f>
        <v>0</v>
      </c>
      <c r="N59" s="85">
        <f ca="1">'Milestone 4'!$F59</f>
        <v>0</v>
      </c>
      <c r="O59" s="60">
        <f ca="1">SUM(budgetMilestone4[[#This Row],[Milestone 1]:[Final]])</f>
        <v>0</v>
      </c>
      <c r="P59" s="60">
        <f>ROW()-ROW(budgetMilestone4[#Headers])</f>
        <v>42</v>
      </c>
      <c r="Q59" s="60">
        <f>IF(budgetMilestone4[row] &lt;= numCategories +3, budgetMilestone4[row]-1, MOD(budgetMilestone4[row]-1,numCategories+3) + IF(MOD(budgetMilestone4[row]-2,numCategories+2)&gt;numCategories+1, 1,0))</f>
        <v>8</v>
      </c>
      <c r="R59" s="60">
        <f>IFERROR(INDEX(directors[Last],MAX(1,FLOOR((budgetMilestone4[row]-1)/(numCategories+3)+1,1))),1)</f>
        <v>0</v>
      </c>
    </row>
    <row r="60" spans="1:18" ht="15" customHeight="1" x14ac:dyDescent="0.25">
      <c r="A60" s="105" t="str">
        <f ca="1"/>
        <v>Subtotal 0</v>
      </c>
      <c r="B60" s="105">
        <f ca="1"/>
        <v>0</v>
      </c>
      <c r="C60" s="105">
        <f ca="1"/>
        <v>0</v>
      </c>
      <c r="D60" s="105">
        <f ca="1"/>
        <v>0</v>
      </c>
      <c r="E60" s="105">
        <f ca="1"/>
        <v>0</v>
      </c>
      <c r="F60" s="105">
        <f ca="1"/>
        <v>0</v>
      </c>
      <c r="G60" s="105">
        <f ca="1"/>
        <v>0</v>
      </c>
      <c r="H60" s="60"/>
      <c r="I60"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Subtotal 0</v>
      </c>
      <c r="J60" s="60">
        <f>budgetMilestone1[[#This Row],[Milestone 1]]</f>
        <v>0</v>
      </c>
      <c r="K60" s="60">
        <f>budgetMilestone2[[#This Row],[Milestone 2]]</f>
        <v>0</v>
      </c>
      <c r="L60" s="60">
        <f>budgetMilestone3[[#This Row],[Milestone 3]]</f>
        <v>0</v>
      </c>
      <c r="M60" s="60">
        <f t="shared" ref="M60" si="3">SUBTOTAL(9,M53:M59)</f>
        <v>0</v>
      </c>
      <c r="N60" s="60">
        <f t="shared" ref="N60:O60" ca="1" si="4">SUBTOTAL(9,N52:N59)</f>
        <v>0</v>
      </c>
      <c r="O60" s="60">
        <f t="shared" ca="1" si="4"/>
        <v>0</v>
      </c>
      <c r="P60" s="60">
        <f>ROW()-ROW(budgetMilestone4[#Headers])</f>
        <v>43</v>
      </c>
      <c r="Q60" s="60">
        <f>IF(budgetMilestone4[row] &lt;= numCategories +3, budgetMilestone4[row]-1, MOD(budgetMilestone4[row]-1,numCategories+3) + IF(MOD(budgetMilestone4[row]-2,numCategories+2)&gt;numCategories+1, 1,0))</f>
        <v>9</v>
      </c>
      <c r="R60" s="60">
        <f>IFERROR(INDEX(directors[Last],MAX(1,FLOOR((budgetMilestone4[row]-1)/(numCategories+3)+1,1))),1)</f>
        <v>0</v>
      </c>
    </row>
    <row r="61" spans="1:18" ht="15" customHeight="1" x14ac:dyDescent="0.25">
      <c r="A61" s="105" t="str">
        <f ca="1"/>
        <v/>
      </c>
      <c r="B61" s="105">
        <f ca="1"/>
        <v>0</v>
      </c>
      <c r="C61" s="105">
        <f ca="1"/>
        <v>0</v>
      </c>
      <c r="D61" s="105">
        <f ca="1"/>
        <v>0</v>
      </c>
      <c r="E61" s="105">
        <f ca="1"/>
        <v>0</v>
      </c>
      <c r="F61" s="105">
        <f ca="1"/>
        <v>0</v>
      </c>
      <c r="G61" s="105">
        <f ca="1"/>
        <v>0</v>
      </c>
      <c r="H61" s="60"/>
      <c r="I61"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c>
      <c r="J61" s="60">
        <f>budgetMilestone1[[#This Row],[Milestone 1]]</f>
        <v>0</v>
      </c>
      <c r="K61" s="60">
        <f>budgetMilestone2[[#This Row],[Milestone 2]]</f>
        <v>0</v>
      </c>
      <c r="L61" s="60">
        <f>budgetMilestone3[[#This Row],[Milestone 3]]</f>
        <v>0</v>
      </c>
      <c r="M61" s="60"/>
      <c r="N61" s="60"/>
      <c r="O61" s="60"/>
      <c r="P61" s="60">
        <f>ROW()-ROW(budgetMilestone4[#Headers])</f>
        <v>44</v>
      </c>
      <c r="Q61" s="60">
        <f>IF(budgetMilestone4[row] &lt;= numCategories +3, budgetMilestone4[row]-1, MOD(budgetMilestone4[row]-1,numCategories+3) + IF(MOD(budgetMilestone4[row]-2,numCategories+2)&gt;numCategories+1, 1,0))</f>
        <v>10</v>
      </c>
      <c r="R61" s="60">
        <f>IFERROR(INDEX(directors[Last],MAX(1,FLOOR((budgetMilestone4[row]-1)/(numCategories+3)+1,1))),1)</f>
        <v>0</v>
      </c>
    </row>
    <row r="62" spans="1:18" ht="15" customHeight="1" x14ac:dyDescent="0.25">
      <c r="A62" s="105" t="str">
        <f ca="1"/>
        <v xml:space="preserve">0 / </v>
      </c>
      <c r="B62" s="105">
        <f ca="1"/>
        <v>0</v>
      </c>
      <c r="C62" s="105">
        <f ca="1"/>
        <v>0</v>
      </c>
      <c r="D62" s="105">
        <f ca="1"/>
        <v>0</v>
      </c>
      <c r="E62" s="105">
        <f ca="1"/>
        <v>0</v>
      </c>
      <c r="F62" s="105">
        <f ca="1"/>
        <v>0</v>
      </c>
      <c r="G62" s="105">
        <f ca="1"/>
        <v>0</v>
      </c>
      <c r="H62" s="60"/>
      <c r="I62"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xml:space="preserve">0 / </v>
      </c>
      <c r="J62" s="60">
        <f>budgetMilestone1[[#This Row],[Milestone 1]]</f>
        <v>0</v>
      </c>
      <c r="K62" s="60">
        <f>budgetMilestone2[[#This Row],[Milestone 2]]</f>
        <v>0</v>
      </c>
      <c r="L62" s="60">
        <f>budgetMilestone3[[#This Row],[Milestone 3]]</f>
        <v>0</v>
      </c>
      <c r="M62" s="60"/>
      <c r="N62" s="60"/>
      <c r="O62" s="60"/>
      <c r="P62" s="60">
        <f>ROW()-ROW(budgetMilestone4[#Headers])</f>
        <v>45</v>
      </c>
      <c r="Q62" s="60">
        <f>IF(budgetMilestone4[row] &lt;= numCategories +3, budgetMilestone4[row]-1, MOD(budgetMilestone4[row]-1,numCategories+3) + IF(MOD(budgetMilestone4[row]-2,numCategories+2)&gt;numCategories+1, 1,0))</f>
        <v>0</v>
      </c>
      <c r="R62" s="60">
        <f>IFERROR(INDEX(directors[Last],MAX(1,FLOOR((budgetMilestone4[row]-1)/(numCategories+3)+1,1))),1)</f>
        <v>0</v>
      </c>
    </row>
    <row r="63" spans="1:18" ht="15" customHeight="1" x14ac:dyDescent="0.25">
      <c r="A63" s="105" t="str">
        <f ca="1"/>
        <v>Equipment</v>
      </c>
      <c r="B63" s="105">
        <f ca="1"/>
        <v>0</v>
      </c>
      <c r="C63" s="105">
        <f ca="1"/>
        <v>0</v>
      </c>
      <c r="D63" s="105">
        <f ca="1"/>
        <v>0</v>
      </c>
      <c r="E63" s="105">
        <f ca="1"/>
        <v>0</v>
      </c>
      <c r="F63" s="105">
        <f ca="1"/>
        <v>0</v>
      </c>
      <c r="G63" s="105">
        <f ca="1"/>
        <v>0</v>
      </c>
      <c r="H63" s="60"/>
      <c r="I63"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Equipment</v>
      </c>
      <c r="J63" s="60">
        <f>budgetMilestone1[[#This Row],[Milestone 1]]</f>
        <v>0</v>
      </c>
      <c r="K63" s="60">
        <f>budgetMilestone2[[#This Row],[Milestone 2]]</f>
        <v>0</v>
      </c>
      <c r="L63" s="60">
        <f>budgetMilestone3[[#This Row],[Milestone 3]]</f>
        <v>0</v>
      </c>
      <c r="M63" s="60">
        <f>SUMIFS(ARF[Amount in Euro], ARF[Co Director],budgetMilestone4[director], ARF[Category], budgetMilestone4[Category], ARF[Date], "&gt;" &amp; cleanDateMilestone3,ARF[Date], "&lt;=" &amp; cleanDateMilestone4)</f>
        <v>0</v>
      </c>
      <c r="N63" s="85">
        <f ca="1">'Milestone 4'!$F63</f>
        <v>0</v>
      </c>
      <c r="O63" s="60">
        <f ca="1">SUM(budgetMilestone4[[#This Row],[Milestone 1]:[Final]])</f>
        <v>0</v>
      </c>
      <c r="P63" s="60">
        <f>ROW()-ROW(budgetMilestone4[#Headers])</f>
        <v>46</v>
      </c>
      <c r="Q63" s="60">
        <f>IF(budgetMilestone4[row] &lt;= numCategories +3, budgetMilestone4[row]-1, MOD(budgetMilestone4[row]-1,numCategories+3) + IF(MOD(budgetMilestone4[row]-2,numCategories+2)&gt;numCategories+1, 1,0))</f>
        <v>1</v>
      </c>
      <c r="R63" s="60">
        <f>IFERROR(INDEX(directors[Last],MAX(1,FLOOR((budgetMilestone4[row]-1)/(numCategories+3)+1,1))),1)</f>
        <v>0</v>
      </c>
    </row>
    <row r="64" spans="1:18" ht="15" customHeight="1" x14ac:dyDescent="0.25">
      <c r="A64" s="105" t="str">
        <f ca="1"/>
        <v>Training</v>
      </c>
      <c r="B64" s="105">
        <f ca="1"/>
        <v>0</v>
      </c>
      <c r="C64" s="105">
        <f ca="1"/>
        <v>0</v>
      </c>
      <c r="D64" s="105">
        <f ca="1"/>
        <v>0</v>
      </c>
      <c r="E64" s="105">
        <f ca="1"/>
        <v>0</v>
      </c>
      <c r="F64" s="105">
        <f ca="1"/>
        <v>0</v>
      </c>
      <c r="G64" s="105">
        <f ca="1"/>
        <v>0</v>
      </c>
      <c r="H64" s="60"/>
      <c r="I64"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Training</v>
      </c>
      <c r="J64" s="60">
        <f>budgetMilestone1[[#This Row],[Milestone 1]]</f>
        <v>0</v>
      </c>
      <c r="K64" s="60">
        <f>budgetMilestone2[[#This Row],[Milestone 2]]</f>
        <v>0</v>
      </c>
      <c r="L64" s="60">
        <f>budgetMilestone3[[#This Row],[Milestone 3]]</f>
        <v>0</v>
      </c>
      <c r="M64" s="60">
        <f>SUMIFS(ARF[Amount in Euro], ARF[Co Director],budgetMilestone4[director], ARF[Category], budgetMilestone4[Category], ARF[Date], "&gt;" &amp; cleanDateMilestone3,ARF[Date], "&lt;=" &amp; cleanDateMilestone4)</f>
        <v>0</v>
      </c>
      <c r="N64" s="85">
        <f ca="1">'Milestone 4'!$F64</f>
        <v>0</v>
      </c>
      <c r="O64" s="60">
        <f ca="1">SUM(budgetMilestone4[[#This Row],[Milestone 1]:[Final]])</f>
        <v>0</v>
      </c>
      <c r="P64" s="60">
        <f>ROW()-ROW(budgetMilestone4[#Headers])</f>
        <v>47</v>
      </c>
      <c r="Q64" s="60">
        <f>IF(budgetMilestone4[row] &lt;= numCategories +3, budgetMilestone4[row]-1, MOD(budgetMilestone4[row]-1,numCategories+3) + IF(MOD(budgetMilestone4[row]-2,numCategories+2)&gt;numCategories+1, 1,0))</f>
        <v>2</v>
      </c>
      <c r="R64" s="60">
        <f>IFERROR(INDEX(directors[Last],MAX(1,FLOOR((budgetMilestone4[row]-1)/(numCategories+3)+1,1))),1)</f>
        <v>0</v>
      </c>
    </row>
    <row r="65" spans="1:18" ht="15" customHeight="1" x14ac:dyDescent="0.25">
      <c r="A65" s="105" t="str">
        <f ca="1"/>
        <v>Communication &amp; Publication</v>
      </c>
      <c r="B65" s="105">
        <f ca="1"/>
        <v>0</v>
      </c>
      <c r="C65" s="105">
        <f ca="1"/>
        <v>0</v>
      </c>
      <c r="D65" s="105">
        <f ca="1"/>
        <v>0</v>
      </c>
      <c r="E65" s="105">
        <f ca="1"/>
        <v>0</v>
      </c>
      <c r="F65" s="105">
        <f ca="1"/>
        <v>0</v>
      </c>
      <c r="G65" s="105">
        <f ca="1"/>
        <v>0</v>
      </c>
      <c r="H65" s="60"/>
      <c r="I65"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Communication &amp; Publication</v>
      </c>
      <c r="J65" s="60">
        <f>budgetMilestone1[[#This Row],[Milestone 1]]</f>
        <v>0</v>
      </c>
      <c r="K65" s="60">
        <f>budgetMilestone2[[#This Row],[Milestone 2]]</f>
        <v>0</v>
      </c>
      <c r="L65" s="60">
        <f>budgetMilestone3[[#This Row],[Milestone 3]]</f>
        <v>0</v>
      </c>
      <c r="M65" s="60">
        <f>SUMIFS(ARF[Amount in Euro], ARF[Co Director],budgetMilestone4[director], ARF[Category], budgetMilestone4[Category], ARF[Date], "&gt;" &amp; cleanDateMilestone3,ARF[Date], "&lt;=" &amp; cleanDateMilestone4)</f>
        <v>0</v>
      </c>
      <c r="N65" s="85">
        <f ca="1">'Milestone 4'!$F65</f>
        <v>0</v>
      </c>
      <c r="O65" s="60">
        <f ca="1">SUM(budgetMilestone4[[#This Row],[Milestone 1]:[Final]])</f>
        <v>0</v>
      </c>
      <c r="P65" s="60">
        <f>ROW()-ROW(budgetMilestone4[#Headers])</f>
        <v>48</v>
      </c>
      <c r="Q65" s="60">
        <f>IF(budgetMilestone4[row] &lt;= numCategories +3, budgetMilestone4[row]-1, MOD(budgetMilestone4[row]-1,numCategories+3) + IF(MOD(budgetMilestone4[row]-2,numCategories+2)&gt;numCategories+1, 1,0))</f>
        <v>3</v>
      </c>
      <c r="R65" s="60">
        <f>IFERROR(INDEX(directors[Last],MAX(1,FLOOR((budgetMilestone4[row]-1)/(numCategories+3)+1,1))),1)</f>
        <v>0</v>
      </c>
    </row>
    <row r="66" spans="1:18" ht="15" customHeight="1" x14ac:dyDescent="0.25">
      <c r="A66" s="105" t="str">
        <f ca="1"/>
        <v>Travel</v>
      </c>
      <c r="B66" s="105">
        <f ca="1"/>
        <v>0</v>
      </c>
      <c r="C66" s="105">
        <f ca="1"/>
        <v>0</v>
      </c>
      <c r="D66" s="105">
        <f ca="1"/>
        <v>0</v>
      </c>
      <c r="E66" s="105">
        <f ca="1"/>
        <v>0</v>
      </c>
      <c r="F66" s="105">
        <f ca="1"/>
        <v>0</v>
      </c>
      <c r="G66" s="105">
        <f ca="1"/>
        <v>0</v>
      </c>
      <c r="H66" s="60"/>
      <c r="I66"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Travel</v>
      </c>
      <c r="J66" s="60">
        <f>budgetMilestone1[[#This Row],[Milestone 1]]</f>
        <v>0</v>
      </c>
      <c r="K66" s="60">
        <f>budgetMilestone2[[#This Row],[Milestone 2]]</f>
        <v>0</v>
      </c>
      <c r="L66" s="60">
        <f>budgetMilestone3[[#This Row],[Milestone 3]]</f>
        <v>0</v>
      </c>
      <c r="M66" s="60">
        <f>SUMIFS(ARF[Amount in Euro], ARF[Co Director],budgetMilestone4[director], ARF[Category], budgetMilestone4[Category], ARF[Date], "&gt;" &amp; cleanDateMilestone3,ARF[Date], "&lt;=" &amp; cleanDateMilestone4)</f>
        <v>0</v>
      </c>
      <c r="N66" s="85">
        <f ca="1">'Milestone 4'!$F66</f>
        <v>0</v>
      </c>
      <c r="O66" s="60">
        <f ca="1">SUM(budgetMilestone4[[#This Row],[Milestone 1]:[Final]])</f>
        <v>0</v>
      </c>
      <c r="P66" s="60">
        <f>ROW()-ROW(budgetMilestone4[#Headers])</f>
        <v>49</v>
      </c>
      <c r="Q66" s="60">
        <f>IF(budgetMilestone4[row] &lt;= numCategories +3, budgetMilestone4[row]-1, MOD(budgetMilestone4[row]-1,numCategories+3) + IF(MOD(budgetMilestone4[row]-2,numCategories+2)&gt;numCategories+1, 1,0))</f>
        <v>4</v>
      </c>
      <c r="R66" s="60">
        <f>IFERROR(INDEX(directors[Last],MAX(1,FLOOR((budgetMilestone4[row]-1)/(numCategories+3)+1,1))),1)</f>
        <v>0</v>
      </c>
    </row>
    <row r="67" spans="1:18" ht="15" customHeight="1" x14ac:dyDescent="0.25">
      <c r="A67" s="105" t="str">
        <f ca="1"/>
        <v>Consumables</v>
      </c>
      <c r="B67" s="105">
        <f ca="1"/>
        <v>0</v>
      </c>
      <c r="C67" s="105">
        <f ca="1"/>
        <v>0</v>
      </c>
      <c r="D67" s="105">
        <f ca="1"/>
        <v>0</v>
      </c>
      <c r="E67" s="105">
        <f ca="1"/>
        <v>0</v>
      </c>
      <c r="F67" s="105">
        <f ca="1"/>
        <v>0</v>
      </c>
      <c r="G67" s="105">
        <f ca="1"/>
        <v>0</v>
      </c>
      <c r="H67" s="60"/>
      <c r="I67"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Consumables</v>
      </c>
      <c r="J67" s="60">
        <f>budgetMilestone1[[#This Row],[Milestone 1]]</f>
        <v>0</v>
      </c>
      <c r="K67" s="60">
        <f>budgetMilestone2[[#This Row],[Milestone 2]]</f>
        <v>0</v>
      </c>
      <c r="L67" s="60">
        <f>budgetMilestone3[[#This Row],[Milestone 3]]</f>
        <v>0</v>
      </c>
      <c r="M67" s="60">
        <f>SUMIFS(ARF[Amount in Euro], ARF[Co Director],budgetMilestone4[director], ARF[Category], budgetMilestone4[Category], ARF[Date], "&gt;" &amp; cleanDateMilestone3,ARF[Date], "&lt;=" &amp; cleanDateMilestone4)</f>
        <v>0</v>
      </c>
      <c r="N67" s="85">
        <f ca="1">'Milestone 4'!$F67</f>
        <v>0</v>
      </c>
      <c r="O67" s="60">
        <f ca="1">SUM(budgetMilestone4[[#This Row],[Milestone 1]:[Final]])</f>
        <v>0</v>
      </c>
      <c r="P67" s="60">
        <f>ROW()-ROW(budgetMilestone4[#Headers])</f>
        <v>50</v>
      </c>
      <c r="Q67" s="60">
        <f>IF(budgetMilestone4[row] &lt;= numCategories +3, budgetMilestone4[row]-1, MOD(budgetMilestone4[row]-1,numCategories+3) + IF(MOD(budgetMilestone4[row]-2,numCategories+2)&gt;numCategories+1, 1,0))</f>
        <v>5</v>
      </c>
      <c r="R67" s="60">
        <f>IFERROR(INDEX(directors[Last],MAX(1,FLOOR((budgetMilestone4[row]-1)/(numCategories+3)+1,1))),1)</f>
        <v>0</v>
      </c>
    </row>
    <row r="68" spans="1:18" ht="15" customHeight="1" x14ac:dyDescent="0.25">
      <c r="A68" s="105" t="str">
        <f ca="1"/>
        <v>Other</v>
      </c>
      <c r="B68" s="105">
        <f ca="1"/>
        <v>0</v>
      </c>
      <c r="C68" s="105">
        <f ca="1"/>
        <v>0</v>
      </c>
      <c r="D68" s="105">
        <f ca="1"/>
        <v>0</v>
      </c>
      <c r="E68" s="105">
        <f ca="1"/>
        <v>0</v>
      </c>
      <c r="F68" s="105">
        <f ca="1"/>
        <v>0</v>
      </c>
      <c r="G68" s="105">
        <f ca="1"/>
        <v>0</v>
      </c>
      <c r="H68" s="60"/>
      <c r="I68"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Other</v>
      </c>
      <c r="J68" s="60">
        <f>budgetMilestone1[[#This Row],[Milestone 1]]</f>
        <v>0</v>
      </c>
      <c r="K68" s="60">
        <f>budgetMilestone2[[#This Row],[Milestone 2]]</f>
        <v>0</v>
      </c>
      <c r="L68" s="60">
        <f>budgetMilestone3[[#This Row],[Milestone 3]]</f>
        <v>0</v>
      </c>
      <c r="M68" s="60">
        <f>SUMIFS(ARF[Amount in Euro], ARF[Co Director],budgetMilestone4[director], ARF[Category], budgetMilestone4[Category], ARF[Date], "&gt;" &amp; cleanDateMilestone3,ARF[Date], "&lt;=" &amp; cleanDateMilestone4)</f>
        <v>0</v>
      </c>
      <c r="N68" s="85">
        <f ca="1">'Milestone 4'!$F68</f>
        <v>0</v>
      </c>
      <c r="O68" s="60">
        <f ca="1">SUM(budgetMilestone4[[#This Row],[Milestone 1]:[Final]])</f>
        <v>0</v>
      </c>
      <c r="P68" s="60">
        <f>ROW()-ROW(budgetMilestone4[#Headers])</f>
        <v>51</v>
      </c>
      <c r="Q68" s="60">
        <f>IF(budgetMilestone4[row] &lt;= numCategories +3, budgetMilestone4[row]-1, MOD(budgetMilestone4[row]-1,numCategories+3) + IF(MOD(budgetMilestone4[row]-2,numCategories+2)&gt;numCategories+1, 1,0))</f>
        <v>6</v>
      </c>
      <c r="R68" s="60">
        <f>IFERROR(INDEX(directors[Last],MAX(1,FLOOR((budgetMilestone4[row]-1)/(numCategories+3)+1,1))),1)</f>
        <v>0</v>
      </c>
    </row>
    <row r="69" spans="1:18" ht="15" customHeight="1" x14ac:dyDescent="0.25">
      <c r="A69" s="105" t="str">
        <f ca="1"/>
        <v>Stipends</v>
      </c>
      <c r="B69" s="105">
        <f ca="1"/>
        <v>0</v>
      </c>
      <c r="C69" s="105">
        <f ca="1"/>
        <v>0</v>
      </c>
      <c r="D69" s="105">
        <f ca="1"/>
        <v>0</v>
      </c>
      <c r="E69" s="105">
        <f ca="1"/>
        <v>0</v>
      </c>
      <c r="F69" s="105">
        <f ca="1"/>
        <v>0</v>
      </c>
      <c r="G69" s="105">
        <f ca="1"/>
        <v>0</v>
      </c>
      <c r="H69" s="60"/>
      <c r="I69"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Stipends</v>
      </c>
      <c r="J69" s="60">
        <f>budgetMilestone1[[#This Row],[Milestone 1]]</f>
        <v>0</v>
      </c>
      <c r="K69" s="60">
        <f>budgetMilestone2[[#This Row],[Milestone 2]]</f>
        <v>0</v>
      </c>
      <c r="L69" s="60">
        <f>budgetMilestone3[[#This Row],[Milestone 3]]</f>
        <v>0</v>
      </c>
      <c r="M69" s="60">
        <f>SUMIFS(ARF[Amount in Euro], ARF[Co Director],budgetMilestone4[director], ARF[Category], budgetMilestone4[Category], ARF[Date], "&gt;" &amp; cleanDateMilestone3,ARF[Date], "&lt;=" &amp; cleanDateMilestone4)</f>
        <v>0</v>
      </c>
      <c r="N69" s="85">
        <f ca="1">'Milestone 4'!$F69</f>
        <v>0</v>
      </c>
      <c r="O69" s="60">
        <f ca="1">SUM(budgetMilestone4[[#This Row],[Milestone 1]:[Final]])</f>
        <v>0</v>
      </c>
      <c r="P69" s="60">
        <f>ROW()-ROW(budgetMilestone4[#Headers])</f>
        <v>52</v>
      </c>
      <c r="Q69" s="60">
        <f>IF(budgetMilestone4[row] &lt;= numCategories +3, budgetMilestone4[row]-1, MOD(budgetMilestone4[row]-1,numCategories+3) + IF(MOD(budgetMilestone4[row]-2,numCategories+2)&gt;numCategories+1, 1,0))</f>
        <v>7</v>
      </c>
      <c r="R69" s="60">
        <f>IFERROR(INDEX(directors[Last],MAX(1,FLOOR((budgetMilestone4[row]-1)/(numCategories+3)+1,1))),1)</f>
        <v>0</v>
      </c>
    </row>
    <row r="70" spans="1:18" ht="15" customHeight="1" x14ac:dyDescent="0.25">
      <c r="A70" s="105" t="str">
        <f ca="1"/>
        <v>Co-financing of personnel</v>
      </c>
      <c r="B70" s="105">
        <f ca="1"/>
        <v>0</v>
      </c>
      <c r="C70" s="105">
        <f ca="1"/>
        <v>0</v>
      </c>
      <c r="D70" s="105">
        <f ca="1"/>
        <v>0</v>
      </c>
      <c r="E70" s="105">
        <f ca="1"/>
        <v>0</v>
      </c>
      <c r="F70" s="105">
        <f ca="1"/>
        <v>0</v>
      </c>
      <c r="G70" s="105">
        <f ca="1"/>
        <v>0</v>
      </c>
      <c r="H70" s="60"/>
      <c r="I70"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Co-financing of personnel</v>
      </c>
      <c r="J70" s="60">
        <f>budgetMilestone1[[#This Row],[Milestone 1]]</f>
        <v>0</v>
      </c>
      <c r="K70" s="60">
        <f>budgetMilestone2[[#This Row],[Milestone 2]]</f>
        <v>0</v>
      </c>
      <c r="L70" s="60">
        <f>budgetMilestone3[[#This Row],[Milestone 3]]</f>
        <v>0</v>
      </c>
      <c r="M70" s="60">
        <f>SUMIFS(ARF[Amount in Euro], ARF[Co Director],budgetMilestone4[director], ARF[Category], budgetMilestone4[Category], ARF[Date], "&gt;" &amp; cleanDateMilestone3,ARF[Date], "&lt;=" &amp; cleanDateMilestone4)</f>
        <v>0</v>
      </c>
      <c r="N70" s="85">
        <f ca="1">'Milestone 4'!$F70</f>
        <v>0</v>
      </c>
      <c r="O70" s="60">
        <f ca="1">SUM(budgetMilestone4[[#This Row],[Milestone 1]:[Final]])</f>
        <v>0</v>
      </c>
      <c r="P70" s="60">
        <f>ROW()-ROW(budgetMilestone4[#Headers])</f>
        <v>53</v>
      </c>
      <c r="Q70" s="60">
        <f>IF(budgetMilestone4[row] &lt;= numCategories +3, budgetMilestone4[row]-1, MOD(budgetMilestone4[row]-1,numCategories+3) + IF(MOD(budgetMilestone4[row]-2,numCategories+2)&gt;numCategories+1, 1,0))</f>
        <v>8</v>
      </c>
      <c r="R70" s="60">
        <f>IFERROR(INDEX(directors[Last],MAX(1,FLOOR((budgetMilestone4[row]-1)/(numCategories+3)+1,1))),1)</f>
        <v>0</v>
      </c>
    </row>
    <row r="71" spans="1:18" ht="15" customHeight="1" x14ac:dyDescent="0.25">
      <c r="A71" s="105" t="str">
        <f ca="1"/>
        <v>Subtotal 0</v>
      </c>
      <c r="B71" s="105">
        <f ca="1"/>
        <v>0</v>
      </c>
      <c r="C71" s="105">
        <f ca="1"/>
        <v>0</v>
      </c>
      <c r="D71" s="105">
        <f ca="1"/>
        <v>0</v>
      </c>
      <c r="E71" s="105">
        <f ca="1"/>
        <v>0</v>
      </c>
      <c r="F71" s="105">
        <f ca="1"/>
        <v>0</v>
      </c>
      <c r="G71" s="105">
        <f ca="1"/>
        <v>0</v>
      </c>
      <c r="H71" s="60"/>
      <c r="I71"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Subtotal 0</v>
      </c>
      <c r="J71" s="60">
        <f>budgetMilestone1[[#This Row],[Milestone 1]]</f>
        <v>0</v>
      </c>
      <c r="K71" s="60">
        <f>budgetMilestone2[[#This Row],[Milestone 2]]</f>
        <v>0</v>
      </c>
      <c r="L71" s="60">
        <f>budgetMilestone3[[#This Row],[Milestone 3]]</f>
        <v>0</v>
      </c>
      <c r="M71" s="60">
        <f t="shared" si="2"/>
        <v>0</v>
      </c>
      <c r="N71" s="60">
        <f t="shared" ca="1" si="2"/>
        <v>0</v>
      </c>
      <c r="O71" s="60">
        <f t="shared" ca="1" si="2"/>
        <v>0</v>
      </c>
      <c r="P71" s="60">
        <f>ROW()-ROW(budgetMilestone4[#Headers])</f>
        <v>54</v>
      </c>
      <c r="Q71" s="60">
        <f>IF(budgetMilestone4[row] &lt;= numCategories +3, budgetMilestone4[row]-1, MOD(budgetMilestone4[row]-1,numCategories+3) + IF(MOD(budgetMilestone4[row]-2,numCategories+2)&gt;numCategories+1, 1,0))</f>
        <v>9</v>
      </c>
      <c r="R71" s="60">
        <f>IFERROR(INDEX(directors[Last],MAX(1,FLOOR((budgetMilestone4[row]-1)/(numCategories+3)+1,1))),1)</f>
        <v>0</v>
      </c>
    </row>
    <row r="72" spans="1:18" ht="15" customHeight="1" x14ac:dyDescent="0.25">
      <c r="A72" s="105" t="str">
        <f ca="1"/>
        <v/>
      </c>
      <c r="B72" s="105">
        <f ca="1"/>
        <v>0</v>
      </c>
      <c r="C72" s="105">
        <f ca="1"/>
        <v>0</v>
      </c>
      <c r="D72" s="105">
        <f ca="1"/>
        <v>0</v>
      </c>
      <c r="E72" s="105">
        <f ca="1"/>
        <v>0</v>
      </c>
      <c r="F72" s="105">
        <f ca="1"/>
        <v>0</v>
      </c>
      <c r="G72" s="105">
        <f ca="1"/>
        <v>0</v>
      </c>
      <c r="H72" s="60"/>
      <c r="I72"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c>
      <c r="J72" s="60">
        <f>budgetMilestone1[[#This Row],[Milestone 1]]</f>
        <v>0</v>
      </c>
      <c r="K72" s="60">
        <f>budgetMilestone2[[#This Row],[Milestone 2]]</f>
        <v>0</v>
      </c>
      <c r="L72" s="60">
        <f>budgetMilestone3[[#This Row],[Milestone 3]]</f>
        <v>0</v>
      </c>
      <c r="M72" s="60"/>
      <c r="N72" s="60"/>
      <c r="O72" s="60"/>
      <c r="P72" s="60">
        <f>ROW()-ROW(budgetMilestone4[#Headers])</f>
        <v>55</v>
      </c>
      <c r="Q72" s="60">
        <f>IF(budgetMilestone4[row] &lt;= numCategories +3, budgetMilestone4[row]-1, MOD(budgetMilestone4[row]-1,numCategories+3) + IF(MOD(budgetMilestone4[row]-2,numCategories+2)&gt;numCategories+1, 1,0))</f>
        <v>10</v>
      </c>
      <c r="R72" s="60">
        <f>IFERROR(INDEX(directors[Last],MAX(1,FLOOR((budgetMilestone4[row]-1)/(numCategories+3)+1,1))),1)</f>
        <v>0</v>
      </c>
    </row>
    <row r="73" spans="1:18" ht="15" customHeight="1" x14ac:dyDescent="0.25">
      <c r="A73" s="105" t="str">
        <f ca="1"/>
        <v xml:space="preserve">0 / </v>
      </c>
      <c r="B73" s="105">
        <f ca="1"/>
        <v>0</v>
      </c>
      <c r="C73" s="105">
        <f ca="1"/>
        <v>0</v>
      </c>
      <c r="D73" s="105">
        <f ca="1"/>
        <v>0</v>
      </c>
      <c r="E73" s="105">
        <f ca="1"/>
        <v>0</v>
      </c>
      <c r="F73" s="105">
        <f ca="1"/>
        <v>0</v>
      </c>
      <c r="G73" s="105">
        <f ca="1"/>
        <v>0</v>
      </c>
      <c r="H73" s="60"/>
      <c r="I73"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xml:space="preserve">0 / </v>
      </c>
      <c r="J73" s="60">
        <f>budgetMilestone1[[#This Row],[Milestone 1]]</f>
        <v>0</v>
      </c>
      <c r="K73" s="60">
        <f>budgetMilestone2[[#This Row],[Milestone 2]]</f>
        <v>0</v>
      </c>
      <c r="L73" s="60">
        <f>budgetMilestone3[[#This Row],[Milestone 3]]</f>
        <v>0</v>
      </c>
      <c r="M73" s="60"/>
      <c r="N73" s="60"/>
      <c r="O73" s="60"/>
      <c r="P73" s="60">
        <f>ROW()-ROW(budgetMilestone4[#Headers])</f>
        <v>56</v>
      </c>
      <c r="Q73" s="60">
        <f>IF(budgetMilestone4[row] &lt;= numCategories +3, budgetMilestone4[row]-1, MOD(budgetMilestone4[row]-1,numCategories+3) + IF(MOD(budgetMilestone4[row]-2,numCategories+2)&gt;numCategories+1, 1,0))</f>
        <v>0</v>
      </c>
      <c r="R73" s="60">
        <f>IFERROR(INDEX(directors[Last],MAX(1,FLOOR((budgetMilestone4[row]-1)/(numCategories+3)+1,1))),1)</f>
        <v>0</v>
      </c>
    </row>
    <row r="74" spans="1:18" ht="15" customHeight="1" x14ac:dyDescent="0.25">
      <c r="A74" s="105" t="str">
        <f ca="1"/>
        <v>Equipment</v>
      </c>
      <c r="B74" s="105">
        <f ca="1"/>
        <v>0</v>
      </c>
      <c r="C74" s="105">
        <f ca="1"/>
        <v>0</v>
      </c>
      <c r="D74" s="105">
        <f ca="1"/>
        <v>0</v>
      </c>
      <c r="E74" s="105">
        <f ca="1"/>
        <v>0</v>
      </c>
      <c r="F74" s="105">
        <f ca="1"/>
        <v>0</v>
      </c>
      <c r="G74" s="105">
        <f ca="1"/>
        <v>0</v>
      </c>
      <c r="H74" s="60"/>
      <c r="I74"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Equipment</v>
      </c>
      <c r="J74" s="60">
        <f>budgetMilestone1[[#This Row],[Milestone 1]]</f>
        <v>0</v>
      </c>
      <c r="K74" s="60">
        <f>budgetMilestone2[[#This Row],[Milestone 2]]</f>
        <v>0</v>
      </c>
      <c r="L74" s="60">
        <f>budgetMilestone3[[#This Row],[Milestone 3]]</f>
        <v>0</v>
      </c>
      <c r="M74" s="60">
        <f>SUMIFS(ARF[Amount in Euro], ARF[Co Director],budgetMilestone4[director], ARF[Category], budgetMilestone4[Category], ARF[Date], "&gt;" &amp; cleanDateMilestone3,ARF[Date], "&lt;=" &amp; cleanDateMilestone4)</f>
        <v>0</v>
      </c>
      <c r="N74" s="85">
        <f ca="1">'Milestone 4'!$F74</f>
        <v>0</v>
      </c>
      <c r="O74" s="60">
        <f ca="1">SUM(budgetMilestone4[[#This Row],[Milestone 1]:[Final]])</f>
        <v>0</v>
      </c>
      <c r="P74" s="60">
        <f>ROW()-ROW(budgetMilestone4[#Headers])</f>
        <v>57</v>
      </c>
      <c r="Q74" s="60">
        <f>IF(budgetMilestone4[row] &lt;= numCategories +3, budgetMilestone4[row]-1, MOD(budgetMilestone4[row]-1,numCategories+3) + IF(MOD(budgetMilestone4[row]-2,numCategories+2)&gt;numCategories+1, 1,0))</f>
        <v>1</v>
      </c>
      <c r="R74" s="60">
        <f>IFERROR(INDEX(directors[Last],MAX(1,FLOOR((budgetMilestone4[row]-1)/(numCategories+3)+1,1))),1)</f>
        <v>0</v>
      </c>
    </row>
    <row r="75" spans="1:18" ht="15" customHeight="1" x14ac:dyDescent="0.25">
      <c r="A75" s="105" t="str">
        <f ca="1"/>
        <v>Training</v>
      </c>
      <c r="B75" s="105">
        <f ca="1"/>
        <v>0</v>
      </c>
      <c r="C75" s="105">
        <f ca="1"/>
        <v>0</v>
      </c>
      <c r="D75" s="105">
        <f ca="1"/>
        <v>0</v>
      </c>
      <c r="E75" s="105">
        <f ca="1"/>
        <v>0</v>
      </c>
      <c r="F75" s="105">
        <f ca="1"/>
        <v>0</v>
      </c>
      <c r="G75" s="105">
        <f ca="1"/>
        <v>0</v>
      </c>
      <c r="H75" s="60"/>
      <c r="I75"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Training</v>
      </c>
      <c r="J75" s="60">
        <f>budgetMilestone1[[#This Row],[Milestone 1]]</f>
        <v>0</v>
      </c>
      <c r="K75" s="60">
        <f>budgetMilestone2[[#This Row],[Milestone 2]]</f>
        <v>0</v>
      </c>
      <c r="L75" s="60">
        <f>budgetMilestone3[[#This Row],[Milestone 3]]</f>
        <v>0</v>
      </c>
      <c r="M75" s="60">
        <f>SUMIFS(ARF[Amount in Euro], ARF[Co Director],budgetMilestone4[director], ARF[Category], budgetMilestone4[Category], ARF[Date], "&gt;" &amp; cleanDateMilestone3,ARF[Date], "&lt;=" &amp; cleanDateMilestone4)</f>
        <v>0</v>
      </c>
      <c r="N75" s="85">
        <f ca="1">'Milestone 4'!$F75</f>
        <v>0</v>
      </c>
      <c r="O75" s="60">
        <f ca="1">SUM(budgetMilestone4[[#This Row],[Milestone 1]:[Final]])</f>
        <v>0</v>
      </c>
      <c r="P75" s="60">
        <f>ROW()-ROW(budgetMilestone4[#Headers])</f>
        <v>58</v>
      </c>
      <c r="Q75" s="60">
        <f>IF(budgetMilestone4[row] &lt;= numCategories +3, budgetMilestone4[row]-1, MOD(budgetMilestone4[row]-1,numCategories+3) + IF(MOD(budgetMilestone4[row]-2,numCategories+2)&gt;numCategories+1, 1,0))</f>
        <v>2</v>
      </c>
      <c r="R75" s="60">
        <f>IFERROR(INDEX(directors[Last],MAX(1,FLOOR((budgetMilestone4[row]-1)/(numCategories+3)+1,1))),1)</f>
        <v>0</v>
      </c>
    </row>
    <row r="76" spans="1:18" ht="15" customHeight="1" x14ac:dyDescent="0.25">
      <c r="A76" s="105" t="str">
        <f ca="1"/>
        <v>Communication &amp; Publication</v>
      </c>
      <c r="B76" s="105">
        <f ca="1"/>
        <v>0</v>
      </c>
      <c r="C76" s="105">
        <f ca="1"/>
        <v>0</v>
      </c>
      <c r="D76" s="105">
        <f ca="1"/>
        <v>0</v>
      </c>
      <c r="E76" s="105">
        <f ca="1"/>
        <v>0</v>
      </c>
      <c r="F76" s="105">
        <f ca="1"/>
        <v>0</v>
      </c>
      <c r="G76" s="105">
        <f ca="1"/>
        <v>0</v>
      </c>
      <c r="H76" s="60"/>
      <c r="I76"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Communication &amp; Publication</v>
      </c>
      <c r="J76" s="60">
        <f>budgetMilestone1[[#This Row],[Milestone 1]]</f>
        <v>0</v>
      </c>
      <c r="K76" s="60">
        <f>budgetMilestone2[[#This Row],[Milestone 2]]</f>
        <v>0</v>
      </c>
      <c r="L76" s="60">
        <f>budgetMilestone3[[#This Row],[Milestone 3]]</f>
        <v>0</v>
      </c>
      <c r="M76" s="60">
        <f>SUMIFS(ARF[Amount in Euro], ARF[Co Director],budgetMilestone4[director], ARF[Category], budgetMilestone4[Category], ARF[Date], "&gt;" &amp; cleanDateMilestone3,ARF[Date], "&lt;=" &amp; cleanDateMilestone4)</f>
        <v>0</v>
      </c>
      <c r="N76" s="85">
        <f ca="1">'Milestone 4'!$F76</f>
        <v>0</v>
      </c>
      <c r="O76" s="60">
        <f ca="1">SUM(budgetMilestone4[[#This Row],[Milestone 1]:[Final]])</f>
        <v>0</v>
      </c>
      <c r="P76" s="60">
        <f>ROW()-ROW(budgetMilestone4[#Headers])</f>
        <v>59</v>
      </c>
      <c r="Q76" s="60">
        <f>IF(budgetMilestone4[row] &lt;= numCategories +3, budgetMilestone4[row]-1, MOD(budgetMilestone4[row]-1,numCategories+3) + IF(MOD(budgetMilestone4[row]-2,numCategories+2)&gt;numCategories+1, 1,0))</f>
        <v>3</v>
      </c>
      <c r="R76" s="60">
        <f>IFERROR(INDEX(directors[Last],MAX(1,FLOOR((budgetMilestone4[row]-1)/(numCategories+3)+1,1))),1)</f>
        <v>0</v>
      </c>
    </row>
    <row r="77" spans="1:18" ht="15" customHeight="1" x14ac:dyDescent="0.25">
      <c r="A77" s="105" t="str">
        <f ca="1"/>
        <v>Travel</v>
      </c>
      <c r="B77" s="105">
        <f ca="1"/>
        <v>0</v>
      </c>
      <c r="C77" s="105">
        <f ca="1"/>
        <v>0</v>
      </c>
      <c r="D77" s="105">
        <f ca="1"/>
        <v>0</v>
      </c>
      <c r="E77" s="105">
        <f ca="1"/>
        <v>0</v>
      </c>
      <c r="F77" s="105">
        <f ca="1"/>
        <v>0</v>
      </c>
      <c r="G77" s="105">
        <f ca="1"/>
        <v>0</v>
      </c>
      <c r="H77" s="60"/>
      <c r="I77"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Travel</v>
      </c>
      <c r="J77" s="60">
        <f>budgetMilestone1[[#This Row],[Milestone 1]]</f>
        <v>0</v>
      </c>
      <c r="K77" s="60">
        <f>budgetMilestone2[[#This Row],[Milestone 2]]</f>
        <v>0</v>
      </c>
      <c r="L77" s="60">
        <f>budgetMilestone3[[#This Row],[Milestone 3]]</f>
        <v>0</v>
      </c>
      <c r="M77" s="60">
        <f>SUMIFS(ARF[Amount in Euro], ARF[Co Director],budgetMilestone4[director], ARF[Category], budgetMilestone4[Category], ARF[Date], "&gt;" &amp; cleanDateMilestone3,ARF[Date], "&lt;=" &amp; cleanDateMilestone4)</f>
        <v>0</v>
      </c>
      <c r="N77" s="85">
        <f ca="1">'Milestone 4'!$F77</f>
        <v>0</v>
      </c>
      <c r="O77" s="60">
        <f ca="1">SUM(budgetMilestone4[[#This Row],[Milestone 1]:[Final]])</f>
        <v>0</v>
      </c>
      <c r="P77" s="60">
        <f>ROW()-ROW(budgetMilestone4[#Headers])</f>
        <v>60</v>
      </c>
      <c r="Q77" s="60">
        <f>IF(budgetMilestone4[row] &lt;= numCategories +3, budgetMilestone4[row]-1, MOD(budgetMilestone4[row]-1,numCategories+3) + IF(MOD(budgetMilestone4[row]-2,numCategories+2)&gt;numCategories+1, 1,0))</f>
        <v>4</v>
      </c>
      <c r="R77" s="60">
        <f>IFERROR(INDEX(directors[Last],MAX(1,FLOOR((budgetMilestone4[row]-1)/(numCategories+3)+1,1))),1)</f>
        <v>0</v>
      </c>
    </row>
    <row r="78" spans="1:18" ht="15" customHeight="1" x14ac:dyDescent="0.25">
      <c r="A78" s="105" t="str">
        <f ca="1"/>
        <v>Consumables</v>
      </c>
      <c r="B78" s="105">
        <f ca="1"/>
        <v>0</v>
      </c>
      <c r="C78" s="105">
        <f ca="1"/>
        <v>0</v>
      </c>
      <c r="D78" s="105">
        <f ca="1"/>
        <v>0</v>
      </c>
      <c r="E78" s="105">
        <f ca="1"/>
        <v>0</v>
      </c>
      <c r="F78" s="105">
        <f ca="1"/>
        <v>0</v>
      </c>
      <c r="G78" s="105">
        <f ca="1"/>
        <v>0</v>
      </c>
      <c r="H78" s="60"/>
      <c r="I78"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Consumables</v>
      </c>
      <c r="J78" s="60">
        <f>budgetMilestone1[[#This Row],[Milestone 1]]</f>
        <v>0</v>
      </c>
      <c r="K78" s="60">
        <f>budgetMilestone2[[#This Row],[Milestone 2]]</f>
        <v>0</v>
      </c>
      <c r="L78" s="60">
        <f>budgetMilestone3[[#This Row],[Milestone 3]]</f>
        <v>0</v>
      </c>
      <c r="M78" s="60">
        <f>SUMIFS(ARF[Amount in Euro], ARF[Co Director],budgetMilestone4[director], ARF[Category], budgetMilestone4[Category], ARF[Date], "&gt;" &amp; cleanDateMilestone3,ARF[Date], "&lt;=" &amp; cleanDateMilestone4)</f>
        <v>0</v>
      </c>
      <c r="N78" s="85">
        <f ca="1">'Milestone 4'!$F78</f>
        <v>0</v>
      </c>
      <c r="O78" s="60">
        <f ca="1">SUM(budgetMilestone4[[#This Row],[Milestone 1]:[Final]])</f>
        <v>0</v>
      </c>
      <c r="P78" s="60">
        <f>ROW()-ROW(budgetMilestone4[#Headers])</f>
        <v>61</v>
      </c>
      <c r="Q78" s="60">
        <f>IF(budgetMilestone4[row] &lt;= numCategories +3, budgetMilestone4[row]-1, MOD(budgetMilestone4[row]-1,numCategories+3) + IF(MOD(budgetMilestone4[row]-2,numCategories+2)&gt;numCategories+1, 1,0))</f>
        <v>5</v>
      </c>
      <c r="R78" s="60">
        <f>IFERROR(INDEX(directors[Last],MAX(1,FLOOR((budgetMilestone4[row]-1)/(numCategories+3)+1,1))),1)</f>
        <v>0</v>
      </c>
    </row>
    <row r="79" spans="1:18" ht="15" customHeight="1" x14ac:dyDescent="0.25">
      <c r="A79" s="105" t="str">
        <f ca="1"/>
        <v>Other</v>
      </c>
      <c r="B79" s="105">
        <f ca="1"/>
        <v>0</v>
      </c>
      <c r="C79" s="105">
        <f ca="1"/>
        <v>0</v>
      </c>
      <c r="D79" s="105">
        <f ca="1"/>
        <v>0</v>
      </c>
      <c r="E79" s="105">
        <f ca="1"/>
        <v>0</v>
      </c>
      <c r="F79" s="105">
        <f ca="1"/>
        <v>0</v>
      </c>
      <c r="G79" s="105">
        <f ca="1"/>
        <v>0</v>
      </c>
      <c r="H79" s="60"/>
      <c r="I79"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Other</v>
      </c>
      <c r="J79" s="60">
        <f>budgetMilestone1[[#This Row],[Milestone 1]]</f>
        <v>0</v>
      </c>
      <c r="K79" s="60">
        <f>budgetMilestone2[[#This Row],[Milestone 2]]</f>
        <v>0</v>
      </c>
      <c r="L79" s="60">
        <f>budgetMilestone3[[#This Row],[Milestone 3]]</f>
        <v>0</v>
      </c>
      <c r="M79" s="60">
        <f>SUMIFS(ARF[Amount in Euro], ARF[Co Director],budgetMilestone4[director], ARF[Category], budgetMilestone4[Category], ARF[Date], "&gt;" &amp; cleanDateMilestone3,ARF[Date], "&lt;=" &amp; cleanDateMilestone4)</f>
        <v>0</v>
      </c>
      <c r="N79" s="85">
        <f ca="1">'Milestone 4'!$F79</f>
        <v>0</v>
      </c>
      <c r="O79" s="60">
        <f ca="1">SUM(budgetMilestone4[[#This Row],[Milestone 1]:[Final]])</f>
        <v>0</v>
      </c>
      <c r="P79" s="60">
        <f>ROW()-ROW(budgetMilestone4[#Headers])</f>
        <v>62</v>
      </c>
      <c r="Q79" s="60">
        <f>IF(budgetMilestone4[row] &lt;= numCategories +3, budgetMilestone4[row]-1, MOD(budgetMilestone4[row]-1,numCategories+3) + IF(MOD(budgetMilestone4[row]-2,numCategories+2)&gt;numCategories+1, 1,0))</f>
        <v>6</v>
      </c>
      <c r="R79" s="60">
        <f>IFERROR(INDEX(directors[Last],MAX(1,FLOOR((budgetMilestone4[row]-1)/(numCategories+3)+1,1))),1)</f>
        <v>0</v>
      </c>
    </row>
    <row r="80" spans="1:18" ht="15" customHeight="1" x14ac:dyDescent="0.25">
      <c r="A80" s="105" t="str">
        <f ca="1"/>
        <v>Stipends</v>
      </c>
      <c r="B80" s="105">
        <f ca="1"/>
        <v>0</v>
      </c>
      <c r="C80" s="105">
        <f ca="1"/>
        <v>0</v>
      </c>
      <c r="D80" s="105">
        <f ca="1"/>
        <v>0</v>
      </c>
      <c r="E80" s="105">
        <f ca="1"/>
        <v>0</v>
      </c>
      <c r="F80" s="105">
        <f ca="1"/>
        <v>0</v>
      </c>
      <c r="G80" s="105">
        <f ca="1"/>
        <v>0</v>
      </c>
      <c r="H80" s="60"/>
      <c r="I80"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Stipends</v>
      </c>
      <c r="J80" s="60">
        <f>budgetMilestone1[[#This Row],[Milestone 1]]</f>
        <v>0</v>
      </c>
      <c r="K80" s="60">
        <f>budgetMilestone2[[#This Row],[Milestone 2]]</f>
        <v>0</v>
      </c>
      <c r="L80" s="60">
        <f>budgetMilestone3[[#This Row],[Milestone 3]]</f>
        <v>0</v>
      </c>
      <c r="M80" s="60">
        <f>SUMIFS(ARF[Amount in Euro], ARF[Co Director],budgetMilestone4[director], ARF[Category], budgetMilestone4[Category], ARF[Date], "&gt;" &amp; cleanDateMilestone3,ARF[Date], "&lt;=" &amp; cleanDateMilestone4)</f>
        <v>0</v>
      </c>
      <c r="N80" s="85">
        <f ca="1">'Milestone 4'!$F80</f>
        <v>0</v>
      </c>
      <c r="O80" s="60">
        <f ca="1">SUM(budgetMilestone4[[#This Row],[Milestone 1]:[Final]])</f>
        <v>0</v>
      </c>
      <c r="P80" s="60">
        <f>ROW()-ROW(budgetMilestone4[#Headers])</f>
        <v>63</v>
      </c>
      <c r="Q80" s="60">
        <f>IF(budgetMilestone4[row] &lt;= numCategories +3, budgetMilestone4[row]-1, MOD(budgetMilestone4[row]-1,numCategories+3) + IF(MOD(budgetMilestone4[row]-2,numCategories+2)&gt;numCategories+1, 1,0))</f>
        <v>7</v>
      </c>
      <c r="R80" s="60">
        <f>IFERROR(INDEX(directors[Last],MAX(1,FLOOR((budgetMilestone4[row]-1)/(numCategories+3)+1,1))),1)</f>
        <v>0</v>
      </c>
    </row>
    <row r="81" spans="1:18" ht="15" customHeight="1" x14ac:dyDescent="0.25">
      <c r="A81" s="105" t="str">
        <f ca="1"/>
        <v>Co-financing of personnel</v>
      </c>
      <c r="B81" s="105">
        <f ca="1"/>
        <v>0</v>
      </c>
      <c r="C81" s="105">
        <f ca="1"/>
        <v>0</v>
      </c>
      <c r="D81" s="105">
        <f ca="1"/>
        <v>0</v>
      </c>
      <c r="E81" s="105">
        <f ca="1"/>
        <v>0</v>
      </c>
      <c r="F81" s="105">
        <f ca="1"/>
        <v>0</v>
      </c>
      <c r="G81" s="105">
        <f ca="1"/>
        <v>0</v>
      </c>
      <c r="H81" s="60"/>
      <c r="I81"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Co-financing of personnel</v>
      </c>
      <c r="J81" s="60">
        <f>budgetMilestone1[[#This Row],[Milestone 1]]</f>
        <v>0</v>
      </c>
      <c r="K81" s="60">
        <f>budgetMilestone2[[#This Row],[Milestone 2]]</f>
        <v>0</v>
      </c>
      <c r="L81" s="60">
        <f>budgetMilestone3[[#This Row],[Milestone 3]]</f>
        <v>0</v>
      </c>
      <c r="M81" s="60">
        <f>SUMIFS(ARF[Amount in Euro], ARF[Co Director],budgetMilestone4[director], ARF[Category], budgetMilestone4[Category], ARF[Date], "&gt;" &amp; cleanDateMilestone3,ARF[Date], "&lt;=" &amp; cleanDateMilestone4)</f>
        <v>0</v>
      </c>
      <c r="N81" s="85">
        <f ca="1">'Milestone 4'!$F81</f>
        <v>0</v>
      </c>
      <c r="O81" s="60">
        <f ca="1">SUM(budgetMilestone4[[#This Row],[Milestone 1]:[Final]])</f>
        <v>0</v>
      </c>
      <c r="P81" s="60">
        <f>ROW()-ROW(budgetMilestone4[#Headers])</f>
        <v>64</v>
      </c>
      <c r="Q81" s="60">
        <f>IF(budgetMilestone4[row] &lt;= numCategories +3, budgetMilestone4[row]-1, MOD(budgetMilestone4[row]-1,numCategories+3) + IF(MOD(budgetMilestone4[row]-2,numCategories+2)&gt;numCategories+1, 1,0))</f>
        <v>8</v>
      </c>
      <c r="R81" s="60">
        <f>IFERROR(INDEX(directors[Last],MAX(1,FLOOR((budgetMilestone4[row]-1)/(numCategories+3)+1,1))),1)</f>
        <v>0</v>
      </c>
    </row>
    <row r="82" spans="1:18" ht="15" customHeight="1" x14ac:dyDescent="0.25">
      <c r="A82" s="105" t="str">
        <f ca="1"/>
        <v>Subtotal 0</v>
      </c>
      <c r="B82" s="105">
        <f ca="1"/>
        <v>0</v>
      </c>
      <c r="C82" s="105">
        <f ca="1"/>
        <v>0</v>
      </c>
      <c r="D82" s="105">
        <f ca="1"/>
        <v>0</v>
      </c>
      <c r="E82" s="105">
        <f ca="1"/>
        <v>0</v>
      </c>
      <c r="F82" s="105">
        <f ca="1"/>
        <v>0</v>
      </c>
      <c r="G82" s="105">
        <f ca="1"/>
        <v>0</v>
      </c>
      <c r="H82" s="60"/>
      <c r="I82"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Subtotal 0</v>
      </c>
      <c r="J82" s="60">
        <f>budgetMilestone1[[#This Row],[Milestone 1]]</f>
        <v>0</v>
      </c>
      <c r="K82" s="60">
        <f>budgetMilestone2[[#This Row],[Milestone 2]]</f>
        <v>0</v>
      </c>
      <c r="L82" s="60">
        <f>budgetMilestone3[[#This Row],[Milestone 3]]</f>
        <v>0</v>
      </c>
      <c r="M82" s="60">
        <f t="shared" ref="M82" si="5">SUBTOTAL(9,M75:M81)</f>
        <v>0</v>
      </c>
      <c r="N82" s="60">
        <f t="shared" ref="N82:O82" ca="1" si="6">SUBTOTAL(9,N74:N81)</f>
        <v>0</v>
      </c>
      <c r="O82" s="60">
        <f t="shared" ca="1" si="6"/>
        <v>0</v>
      </c>
      <c r="P82" s="60">
        <f>ROW()-ROW(budgetMilestone4[#Headers])</f>
        <v>65</v>
      </c>
      <c r="Q82" s="60">
        <f>IF(budgetMilestone4[row] &lt;= numCategories +3, budgetMilestone4[row]-1, MOD(budgetMilestone4[row]-1,numCategories+3) + IF(MOD(budgetMilestone4[row]-2,numCategories+2)&gt;numCategories+1, 1,0))</f>
        <v>9</v>
      </c>
      <c r="R82" s="60">
        <f>IFERROR(INDEX(directors[Last],MAX(1,FLOOR((budgetMilestone4[row]-1)/(numCategories+3)+1,1))),1)</f>
        <v>0</v>
      </c>
    </row>
    <row r="83" spans="1:18" ht="15" customHeight="1" x14ac:dyDescent="0.25">
      <c r="A83" s="105" t="str">
        <f ca="1"/>
        <v/>
      </c>
      <c r="B83" s="105">
        <f ca="1"/>
        <v>0</v>
      </c>
      <c r="C83" s="105">
        <f ca="1"/>
        <v>0</v>
      </c>
      <c r="D83" s="105">
        <f ca="1"/>
        <v>0</v>
      </c>
      <c r="E83" s="105">
        <f ca="1"/>
        <v>0</v>
      </c>
      <c r="F83" s="105">
        <f ca="1"/>
        <v>0</v>
      </c>
      <c r="G83" s="105">
        <f ca="1"/>
        <v>0</v>
      </c>
      <c r="H83" s="60"/>
      <c r="I83"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c>
      <c r="J83" s="60">
        <f>budgetMilestone1[[#This Row],[Milestone 1]]</f>
        <v>0</v>
      </c>
      <c r="K83" s="60">
        <f>budgetMilestone2[[#This Row],[Milestone 2]]</f>
        <v>0</v>
      </c>
      <c r="L83" s="60">
        <f>budgetMilestone3[[#This Row],[Milestone 3]]</f>
        <v>0</v>
      </c>
      <c r="M83" s="60"/>
      <c r="N83" s="60"/>
      <c r="O83" s="60"/>
      <c r="P83" s="60">
        <f>ROW()-ROW(budgetMilestone4[#Headers])</f>
        <v>66</v>
      </c>
      <c r="Q83" s="60">
        <f>IF(budgetMilestone4[row] &lt;= numCategories +3, budgetMilestone4[row]-1, MOD(budgetMilestone4[row]-1,numCategories+3) + IF(MOD(budgetMilestone4[row]-2,numCategories+2)&gt;numCategories+1, 1,0))</f>
        <v>10</v>
      </c>
      <c r="R83" s="60">
        <f>IFERROR(INDEX(directors[Last],MAX(1,FLOOR((budgetMilestone4[row]-1)/(numCategories+3)+1,1))),1)</f>
        <v>0</v>
      </c>
    </row>
    <row r="84" spans="1:18" ht="15" customHeight="1" x14ac:dyDescent="0.25">
      <c r="A84" s="105" t="str">
        <f ca="1"/>
        <v xml:space="preserve">0 / </v>
      </c>
      <c r="B84" s="105">
        <f ca="1"/>
        <v>0</v>
      </c>
      <c r="C84" s="105">
        <f ca="1"/>
        <v>0</v>
      </c>
      <c r="D84" s="105">
        <f ca="1"/>
        <v>0</v>
      </c>
      <c r="E84" s="105">
        <f ca="1"/>
        <v>0</v>
      </c>
      <c r="F84" s="105">
        <f ca="1"/>
        <v>0</v>
      </c>
      <c r="G84" s="105">
        <f ca="1"/>
        <v>0</v>
      </c>
      <c r="H84" s="60"/>
      <c r="I84"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xml:space="preserve">0 / </v>
      </c>
      <c r="J84" s="60">
        <f>budgetMilestone1[[#This Row],[Milestone 1]]</f>
        <v>0</v>
      </c>
      <c r="K84" s="60">
        <f>budgetMilestone2[[#This Row],[Milestone 2]]</f>
        <v>0</v>
      </c>
      <c r="L84" s="60">
        <f>budgetMilestone3[[#This Row],[Milestone 3]]</f>
        <v>0</v>
      </c>
      <c r="M84" s="60"/>
      <c r="N84" s="60"/>
      <c r="O84" s="60"/>
      <c r="P84" s="60">
        <f>ROW()-ROW(budgetMilestone4[#Headers])</f>
        <v>67</v>
      </c>
      <c r="Q84" s="60">
        <f>IF(budgetMilestone4[row] &lt;= numCategories +3, budgetMilestone4[row]-1, MOD(budgetMilestone4[row]-1,numCategories+3) + IF(MOD(budgetMilestone4[row]-2,numCategories+2)&gt;numCategories+1, 1,0))</f>
        <v>0</v>
      </c>
      <c r="R84" s="60">
        <f>IFERROR(INDEX(directors[Last],MAX(1,FLOOR((budgetMilestone4[row]-1)/(numCategories+3)+1,1))),1)</f>
        <v>0</v>
      </c>
    </row>
    <row r="85" spans="1:18" ht="15" customHeight="1" x14ac:dyDescent="0.25">
      <c r="A85" s="105" t="str">
        <f ca="1"/>
        <v>Equipment</v>
      </c>
      <c r="B85" s="105">
        <f ca="1"/>
        <v>0</v>
      </c>
      <c r="C85" s="105">
        <f ca="1"/>
        <v>0</v>
      </c>
      <c r="D85" s="105">
        <f ca="1"/>
        <v>0</v>
      </c>
      <c r="E85" s="105">
        <f ca="1"/>
        <v>0</v>
      </c>
      <c r="F85" s="105">
        <f ca="1"/>
        <v>0</v>
      </c>
      <c r="G85" s="105">
        <f ca="1"/>
        <v>0</v>
      </c>
      <c r="H85" s="60"/>
      <c r="I85"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Equipment</v>
      </c>
      <c r="J85" s="60">
        <f>budgetMilestone1[[#This Row],[Milestone 1]]</f>
        <v>0</v>
      </c>
      <c r="K85" s="60">
        <f>budgetMilestone2[[#This Row],[Milestone 2]]</f>
        <v>0</v>
      </c>
      <c r="L85" s="60">
        <f>budgetMilestone3[[#This Row],[Milestone 3]]</f>
        <v>0</v>
      </c>
      <c r="M85" s="60">
        <f>SUMIFS(ARF[Amount in Euro], ARF[Co Director],budgetMilestone4[director], ARF[Category], budgetMilestone4[Category], ARF[Date], "&gt;" &amp; cleanDateMilestone3,ARF[Date], "&lt;=" &amp; cleanDateMilestone4)</f>
        <v>0</v>
      </c>
      <c r="N85" s="85">
        <f ca="1">'Milestone 4'!$F85</f>
        <v>0</v>
      </c>
      <c r="O85" s="60">
        <f ca="1">SUM(budgetMilestone4[[#This Row],[Milestone 1]:[Final]])</f>
        <v>0</v>
      </c>
      <c r="P85" s="60">
        <f>ROW()-ROW(budgetMilestone4[#Headers])</f>
        <v>68</v>
      </c>
      <c r="Q85" s="60">
        <f>IF(budgetMilestone4[row] &lt;= numCategories +3, budgetMilestone4[row]-1, MOD(budgetMilestone4[row]-1,numCategories+3) + IF(MOD(budgetMilestone4[row]-2,numCategories+2)&gt;numCategories+1, 1,0))</f>
        <v>1</v>
      </c>
      <c r="R85" s="60">
        <f>IFERROR(INDEX(directors[Last],MAX(1,FLOOR((budgetMilestone4[row]-1)/(numCategories+3)+1,1))),1)</f>
        <v>0</v>
      </c>
    </row>
    <row r="86" spans="1:18" ht="15" customHeight="1" x14ac:dyDescent="0.25">
      <c r="A86" s="105" t="str">
        <f ca="1"/>
        <v>Training</v>
      </c>
      <c r="B86" s="105">
        <f ca="1"/>
        <v>0</v>
      </c>
      <c r="C86" s="105">
        <f ca="1"/>
        <v>0</v>
      </c>
      <c r="D86" s="105">
        <f ca="1"/>
        <v>0</v>
      </c>
      <c r="E86" s="105">
        <f ca="1"/>
        <v>0</v>
      </c>
      <c r="F86" s="105">
        <f ca="1"/>
        <v>0</v>
      </c>
      <c r="G86" s="105">
        <f ca="1"/>
        <v>0</v>
      </c>
      <c r="H86" s="60"/>
      <c r="I86"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Training</v>
      </c>
      <c r="J86" s="60">
        <f>budgetMilestone1[[#This Row],[Milestone 1]]</f>
        <v>0</v>
      </c>
      <c r="K86" s="60">
        <f>budgetMilestone2[[#This Row],[Milestone 2]]</f>
        <v>0</v>
      </c>
      <c r="L86" s="60">
        <f>budgetMilestone3[[#This Row],[Milestone 3]]</f>
        <v>0</v>
      </c>
      <c r="M86" s="60">
        <f>SUMIFS(ARF[Amount in Euro], ARF[Co Director],budgetMilestone4[director], ARF[Category], budgetMilestone4[Category], ARF[Date], "&gt;" &amp; cleanDateMilestone3,ARF[Date], "&lt;=" &amp; cleanDateMilestone4)</f>
        <v>0</v>
      </c>
      <c r="N86" s="85">
        <f ca="1">'Milestone 4'!$F86</f>
        <v>0</v>
      </c>
      <c r="O86" s="60">
        <f ca="1">SUM(budgetMilestone4[[#This Row],[Milestone 1]:[Final]])</f>
        <v>0</v>
      </c>
      <c r="P86" s="60">
        <f>ROW()-ROW(budgetMilestone4[#Headers])</f>
        <v>69</v>
      </c>
      <c r="Q86" s="60">
        <f>IF(budgetMilestone4[row] &lt;= numCategories +3, budgetMilestone4[row]-1, MOD(budgetMilestone4[row]-1,numCategories+3) + IF(MOD(budgetMilestone4[row]-2,numCategories+2)&gt;numCategories+1, 1,0))</f>
        <v>2</v>
      </c>
      <c r="R86" s="60">
        <f>IFERROR(INDEX(directors[Last],MAX(1,FLOOR((budgetMilestone4[row]-1)/(numCategories+3)+1,1))),1)</f>
        <v>0</v>
      </c>
    </row>
    <row r="87" spans="1:18" ht="15" customHeight="1" x14ac:dyDescent="0.25">
      <c r="A87" s="105" t="str">
        <f ca="1"/>
        <v>Communication &amp; Publication</v>
      </c>
      <c r="B87" s="105">
        <f ca="1"/>
        <v>0</v>
      </c>
      <c r="C87" s="105">
        <f ca="1"/>
        <v>0</v>
      </c>
      <c r="D87" s="105">
        <f ca="1"/>
        <v>0</v>
      </c>
      <c r="E87" s="105">
        <f ca="1"/>
        <v>0</v>
      </c>
      <c r="F87" s="105">
        <f ca="1"/>
        <v>0</v>
      </c>
      <c r="G87" s="105">
        <f ca="1"/>
        <v>0</v>
      </c>
      <c r="H87" s="60"/>
      <c r="I87"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Communication &amp; Publication</v>
      </c>
      <c r="J87" s="60">
        <f>budgetMilestone1[[#This Row],[Milestone 1]]</f>
        <v>0</v>
      </c>
      <c r="K87" s="60">
        <f>budgetMilestone2[[#This Row],[Milestone 2]]</f>
        <v>0</v>
      </c>
      <c r="L87" s="60">
        <f>budgetMilestone3[[#This Row],[Milestone 3]]</f>
        <v>0</v>
      </c>
      <c r="M87" s="60">
        <f>SUMIFS(ARF[Amount in Euro], ARF[Co Director],budgetMilestone4[director], ARF[Category], budgetMilestone4[Category], ARF[Date], "&gt;" &amp; cleanDateMilestone3,ARF[Date], "&lt;=" &amp; cleanDateMilestone4)</f>
        <v>0</v>
      </c>
      <c r="N87" s="85">
        <f ca="1">'Milestone 4'!$F87</f>
        <v>0</v>
      </c>
      <c r="O87" s="60">
        <f ca="1">SUM(budgetMilestone4[[#This Row],[Milestone 1]:[Final]])</f>
        <v>0</v>
      </c>
      <c r="P87" s="60">
        <f>ROW()-ROW(budgetMilestone4[#Headers])</f>
        <v>70</v>
      </c>
      <c r="Q87" s="60">
        <f>IF(budgetMilestone4[row] &lt;= numCategories +3, budgetMilestone4[row]-1, MOD(budgetMilestone4[row]-1,numCategories+3) + IF(MOD(budgetMilestone4[row]-2,numCategories+2)&gt;numCategories+1, 1,0))</f>
        <v>3</v>
      </c>
      <c r="R87" s="60">
        <f>IFERROR(INDEX(directors[Last],MAX(1,FLOOR((budgetMilestone4[row]-1)/(numCategories+3)+1,1))),1)</f>
        <v>0</v>
      </c>
    </row>
    <row r="88" spans="1:18" ht="15" customHeight="1" x14ac:dyDescent="0.25">
      <c r="A88" s="105" t="str">
        <f ca="1"/>
        <v>Travel</v>
      </c>
      <c r="B88" s="105">
        <f ca="1"/>
        <v>0</v>
      </c>
      <c r="C88" s="105">
        <f ca="1"/>
        <v>0</v>
      </c>
      <c r="D88" s="105">
        <f ca="1"/>
        <v>0</v>
      </c>
      <c r="E88" s="105">
        <f ca="1"/>
        <v>0</v>
      </c>
      <c r="F88" s="105">
        <f ca="1"/>
        <v>0</v>
      </c>
      <c r="G88" s="105">
        <f ca="1"/>
        <v>0</v>
      </c>
      <c r="H88" s="60"/>
      <c r="I88"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Travel</v>
      </c>
      <c r="J88" s="60">
        <f>budgetMilestone1[[#This Row],[Milestone 1]]</f>
        <v>0</v>
      </c>
      <c r="K88" s="60">
        <f>budgetMilestone2[[#This Row],[Milestone 2]]</f>
        <v>0</v>
      </c>
      <c r="L88" s="60">
        <f>budgetMilestone3[[#This Row],[Milestone 3]]</f>
        <v>0</v>
      </c>
      <c r="M88" s="60">
        <f>SUMIFS(ARF[Amount in Euro], ARF[Co Director],budgetMilestone4[director], ARF[Category], budgetMilestone4[Category], ARF[Date], "&gt;" &amp; cleanDateMilestone3,ARF[Date], "&lt;=" &amp; cleanDateMilestone4)</f>
        <v>0</v>
      </c>
      <c r="N88" s="85">
        <f ca="1">'Milestone 4'!$F88</f>
        <v>0</v>
      </c>
      <c r="O88" s="60">
        <f ca="1">SUM(budgetMilestone4[[#This Row],[Milestone 1]:[Final]])</f>
        <v>0</v>
      </c>
      <c r="P88" s="60">
        <f>ROW()-ROW(budgetMilestone4[#Headers])</f>
        <v>71</v>
      </c>
      <c r="Q88" s="60">
        <f>IF(budgetMilestone4[row] &lt;= numCategories +3, budgetMilestone4[row]-1, MOD(budgetMilestone4[row]-1,numCategories+3) + IF(MOD(budgetMilestone4[row]-2,numCategories+2)&gt;numCategories+1, 1,0))</f>
        <v>4</v>
      </c>
      <c r="R88" s="60">
        <f>IFERROR(INDEX(directors[Last],MAX(1,FLOOR((budgetMilestone4[row]-1)/(numCategories+3)+1,1))),1)</f>
        <v>0</v>
      </c>
    </row>
    <row r="89" spans="1:18" ht="15" customHeight="1" x14ac:dyDescent="0.25">
      <c r="A89" s="105" t="str">
        <f ca="1"/>
        <v>Consumables</v>
      </c>
      <c r="B89" s="105">
        <f ca="1"/>
        <v>0</v>
      </c>
      <c r="C89" s="105">
        <f ca="1"/>
        <v>0</v>
      </c>
      <c r="D89" s="105">
        <f ca="1"/>
        <v>0</v>
      </c>
      <c r="E89" s="105">
        <f ca="1"/>
        <v>0</v>
      </c>
      <c r="F89" s="105">
        <f ca="1"/>
        <v>0</v>
      </c>
      <c r="G89" s="105">
        <f ca="1"/>
        <v>0</v>
      </c>
      <c r="H89" s="60"/>
      <c r="I89"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Consumables</v>
      </c>
      <c r="J89" s="60">
        <f>budgetMilestone1[[#This Row],[Milestone 1]]</f>
        <v>0</v>
      </c>
      <c r="K89" s="60">
        <f>budgetMilestone2[[#This Row],[Milestone 2]]</f>
        <v>0</v>
      </c>
      <c r="L89" s="60">
        <f>budgetMilestone3[[#This Row],[Milestone 3]]</f>
        <v>0</v>
      </c>
      <c r="M89" s="60">
        <f>SUMIFS(ARF[Amount in Euro], ARF[Co Director],budgetMilestone4[director], ARF[Category], budgetMilestone4[Category], ARF[Date], "&gt;" &amp; cleanDateMilestone3,ARF[Date], "&lt;=" &amp; cleanDateMilestone4)</f>
        <v>0</v>
      </c>
      <c r="N89" s="85">
        <f ca="1">'Milestone 4'!$F89</f>
        <v>0</v>
      </c>
      <c r="O89" s="60">
        <f ca="1">SUM(budgetMilestone4[[#This Row],[Milestone 1]:[Final]])</f>
        <v>0</v>
      </c>
      <c r="P89" s="60">
        <f>ROW()-ROW(budgetMilestone4[#Headers])</f>
        <v>72</v>
      </c>
      <c r="Q89" s="60">
        <f>IF(budgetMilestone4[row] &lt;= numCategories +3, budgetMilestone4[row]-1, MOD(budgetMilestone4[row]-1,numCategories+3) + IF(MOD(budgetMilestone4[row]-2,numCategories+2)&gt;numCategories+1, 1,0))</f>
        <v>5</v>
      </c>
      <c r="R89" s="60">
        <f>IFERROR(INDEX(directors[Last],MAX(1,FLOOR((budgetMilestone4[row]-1)/(numCategories+3)+1,1))),1)</f>
        <v>0</v>
      </c>
    </row>
    <row r="90" spans="1:18" ht="15" customHeight="1" x14ac:dyDescent="0.25">
      <c r="A90" s="105" t="str">
        <f ca="1"/>
        <v>Other</v>
      </c>
      <c r="B90" s="105">
        <f ca="1"/>
        <v>0</v>
      </c>
      <c r="C90" s="105">
        <f ca="1"/>
        <v>0</v>
      </c>
      <c r="D90" s="105">
        <f ca="1"/>
        <v>0</v>
      </c>
      <c r="E90" s="105">
        <f ca="1"/>
        <v>0</v>
      </c>
      <c r="F90" s="105">
        <f ca="1"/>
        <v>0</v>
      </c>
      <c r="G90" s="105">
        <f ca="1"/>
        <v>0</v>
      </c>
      <c r="H90" s="60"/>
      <c r="I90"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Other</v>
      </c>
      <c r="J90" s="60">
        <f>budgetMilestone1[[#This Row],[Milestone 1]]</f>
        <v>0</v>
      </c>
      <c r="K90" s="60">
        <f>budgetMilestone2[[#This Row],[Milestone 2]]</f>
        <v>0</v>
      </c>
      <c r="L90" s="60">
        <f>budgetMilestone3[[#This Row],[Milestone 3]]</f>
        <v>0</v>
      </c>
      <c r="M90" s="60">
        <f>SUMIFS(ARF[Amount in Euro], ARF[Co Director],budgetMilestone4[director], ARF[Category], budgetMilestone4[Category], ARF[Date], "&gt;" &amp; cleanDateMilestone3,ARF[Date], "&lt;=" &amp; cleanDateMilestone4)</f>
        <v>0</v>
      </c>
      <c r="N90" s="85">
        <f ca="1">'Milestone 4'!$F90</f>
        <v>0</v>
      </c>
      <c r="O90" s="60">
        <f ca="1">SUM(budgetMilestone4[[#This Row],[Milestone 1]:[Final]])</f>
        <v>0</v>
      </c>
      <c r="P90" s="60">
        <f>ROW()-ROW(budgetMilestone4[#Headers])</f>
        <v>73</v>
      </c>
      <c r="Q90" s="60">
        <f>IF(budgetMilestone4[row] &lt;= numCategories +3, budgetMilestone4[row]-1, MOD(budgetMilestone4[row]-1,numCategories+3) + IF(MOD(budgetMilestone4[row]-2,numCategories+2)&gt;numCategories+1, 1,0))</f>
        <v>6</v>
      </c>
      <c r="R90" s="60">
        <f>IFERROR(INDEX(directors[Last],MAX(1,FLOOR((budgetMilestone4[row]-1)/(numCategories+3)+1,1))),1)</f>
        <v>0</v>
      </c>
    </row>
    <row r="91" spans="1:18" ht="15" customHeight="1" x14ac:dyDescent="0.25">
      <c r="A91" s="105" t="str">
        <f ca="1"/>
        <v>Stipends</v>
      </c>
      <c r="B91" s="105">
        <f ca="1"/>
        <v>0</v>
      </c>
      <c r="C91" s="105">
        <f ca="1"/>
        <v>0</v>
      </c>
      <c r="D91" s="105">
        <f ca="1"/>
        <v>0</v>
      </c>
      <c r="E91" s="105">
        <f ca="1"/>
        <v>0</v>
      </c>
      <c r="F91" s="105">
        <f ca="1"/>
        <v>0</v>
      </c>
      <c r="G91" s="105">
        <f ca="1"/>
        <v>0</v>
      </c>
      <c r="H91" s="60"/>
      <c r="I91"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Stipends</v>
      </c>
      <c r="J91" s="60">
        <f>budgetMilestone1[[#This Row],[Milestone 1]]</f>
        <v>0</v>
      </c>
      <c r="K91" s="60">
        <f>budgetMilestone2[[#This Row],[Milestone 2]]</f>
        <v>0</v>
      </c>
      <c r="L91" s="60">
        <f>budgetMilestone3[[#This Row],[Milestone 3]]</f>
        <v>0</v>
      </c>
      <c r="M91" s="60">
        <f>SUMIFS(ARF[Amount in Euro], ARF[Co Director],budgetMilestone4[director], ARF[Category], budgetMilestone4[Category], ARF[Date], "&gt;" &amp; cleanDateMilestone3,ARF[Date], "&lt;=" &amp; cleanDateMilestone4)</f>
        <v>0</v>
      </c>
      <c r="N91" s="85">
        <f ca="1">'Milestone 4'!$F91</f>
        <v>0</v>
      </c>
      <c r="O91" s="60">
        <f ca="1">SUM(budgetMilestone4[[#This Row],[Milestone 1]:[Final]])</f>
        <v>0</v>
      </c>
      <c r="P91" s="60">
        <f>ROW()-ROW(budgetMilestone4[#Headers])</f>
        <v>74</v>
      </c>
      <c r="Q91" s="60">
        <f>IF(budgetMilestone4[row] &lt;= numCategories +3, budgetMilestone4[row]-1, MOD(budgetMilestone4[row]-1,numCategories+3) + IF(MOD(budgetMilestone4[row]-2,numCategories+2)&gt;numCategories+1, 1,0))</f>
        <v>7</v>
      </c>
      <c r="R91" s="60">
        <f>IFERROR(INDEX(directors[Last],MAX(1,FLOOR((budgetMilestone4[row]-1)/(numCategories+3)+1,1))),1)</f>
        <v>0</v>
      </c>
    </row>
    <row r="92" spans="1:18" ht="15" customHeight="1" x14ac:dyDescent="0.25">
      <c r="A92" s="105" t="str">
        <f ca="1"/>
        <v>Co-financing of personnel</v>
      </c>
      <c r="B92" s="105">
        <f ca="1"/>
        <v>0</v>
      </c>
      <c r="C92" s="105">
        <f ca="1"/>
        <v>0</v>
      </c>
      <c r="D92" s="105">
        <f ca="1"/>
        <v>0</v>
      </c>
      <c r="E92" s="105">
        <f ca="1"/>
        <v>0</v>
      </c>
      <c r="F92" s="105">
        <f ca="1"/>
        <v>0</v>
      </c>
      <c r="G92" s="105">
        <f ca="1"/>
        <v>0</v>
      </c>
      <c r="H92" s="60"/>
      <c r="I92"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Co-financing of personnel</v>
      </c>
      <c r="J92" s="60">
        <f>budgetMilestone1[[#This Row],[Milestone 1]]</f>
        <v>0</v>
      </c>
      <c r="K92" s="60">
        <f>budgetMilestone2[[#This Row],[Milestone 2]]</f>
        <v>0</v>
      </c>
      <c r="L92" s="60">
        <f>budgetMilestone3[[#This Row],[Milestone 3]]</f>
        <v>0</v>
      </c>
      <c r="M92" s="60">
        <f>SUMIFS(ARF[Amount in Euro], ARF[Co Director],budgetMilestone4[director], ARF[Category], budgetMilestone4[Category], ARF[Date], "&gt;" &amp; cleanDateMilestone3,ARF[Date], "&lt;=" &amp; cleanDateMilestone4)</f>
        <v>0</v>
      </c>
      <c r="N92" s="85">
        <f ca="1">'Milestone 4'!$F92</f>
        <v>0</v>
      </c>
      <c r="O92" s="60">
        <f ca="1">SUM(budgetMilestone4[[#This Row],[Milestone 1]:[Final]])</f>
        <v>0</v>
      </c>
      <c r="P92" s="60">
        <f>ROW()-ROW(budgetMilestone4[#Headers])</f>
        <v>75</v>
      </c>
      <c r="Q92" s="60">
        <f>IF(budgetMilestone4[row] &lt;= numCategories +3, budgetMilestone4[row]-1, MOD(budgetMilestone4[row]-1,numCategories+3) + IF(MOD(budgetMilestone4[row]-2,numCategories+2)&gt;numCategories+1, 1,0))</f>
        <v>8</v>
      </c>
      <c r="R92" s="60">
        <f>IFERROR(INDEX(directors[Last],MAX(1,FLOOR((budgetMilestone4[row]-1)/(numCategories+3)+1,1))),1)</f>
        <v>0</v>
      </c>
    </row>
    <row r="93" spans="1:18" ht="15" customHeight="1" x14ac:dyDescent="0.25">
      <c r="A93" s="105" t="str">
        <f ca="1"/>
        <v>Subtotal 0</v>
      </c>
      <c r="B93" s="105">
        <f ca="1"/>
        <v>0</v>
      </c>
      <c r="C93" s="105">
        <f ca="1"/>
        <v>0</v>
      </c>
      <c r="D93" s="105">
        <f ca="1"/>
        <v>0</v>
      </c>
      <c r="E93" s="105">
        <f ca="1"/>
        <v>0</v>
      </c>
      <c r="F93" s="105">
        <f ca="1"/>
        <v>0</v>
      </c>
      <c r="G93" s="105">
        <f ca="1"/>
        <v>0</v>
      </c>
      <c r="H93" s="60"/>
      <c r="I93"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Subtotal 0</v>
      </c>
      <c r="J93" s="60">
        <f>budgetMilestone1[[#This Row],[Milestone 1]]</f>
        <v>0</v>
      </c>
      <c r="K93" s="60">
        <f>budgetMilestone2[[#This Row],[Milestone 2]]</f>
        <v>0</v>
      </c>
      <c r="L93" s="60">
        <f>budgetMilestone3[[#This Row],[Milestone 3]]</f>
        <v>0</v>
      </c>
      <c r="M93" s="60">
        <f t="shared" si="2"/>
        <v>0</v>
      </c>
      <c r="N93" s="60">
        <f t="shared" ca="1" si="2"/>
        <v>0</v>
      </c>
      <c r="O93" s="60">
        <f t="shared" ca="1" si="2"/>
        <v>0</v>
      </c>
      <c r="P93" s="60">
        <f>ROW()-ROW(budgetMilestone4[#Headers])</f>
        <v>76</v>
      </c>
      <c r="Q93" s="60">
        <f>IF(budgetMilestone4[row] &lt;= numCategories +3, budgetMilestone4[row]-1, MOD(budgetMilestone4[row]-1,numCategories+3) + IF(MOD(budgetMilestone4[row]-2,numCategories+2)&gt;numCategories+1, 1,0))</f>
        <v>9</v>
      </c>
      <c r="R93" s="60">
        <f>IFERROR(INDEX(directors[Last],MAX(1,FLOOR((budgetMilestone4[row]-1)/(numCategories+3)+1,1))),1)</f>
        <v>0</v>
      </c>
    </row>
    <row r="94" spans="1:18" ht="15" customHeight="1" x14ac:dyDescent="0.25">
      <c r="A94" s="105" t="str">
        <f ca="1"/>
        <v/>
      </c>
      <c r="B94" s="105">
        <f ca="1"/>
        <v>0</v>
      </c>
      <c r="C94" s="105">
        <f ca="1"/>
        <v>0</v>
      </c>
      <c r="D94" s="105">
        <f ca="1"/>
        <v>0</v>
      </c>
      <c r="E94" s="105">
        <f ca="1"/>
        <v>0</v>
      </c>
      <c r="F94" s="105">
        <f ca="1"/>
        <v>0</v>
      </c>
      <c r="G94" s="105">
        <f ca="1"/>
        <v>0</v>
      </c>
      <c r="H94" s="60"/>
      <c r="I94"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c>
      <c r="J94" s="60">
        <f>budgetMilestone1[[#This Row],[Milestone 1]]</f>
        <v>0</v>
      </c>
      <c r="K94" s="60">
        <f>budgetMilestone2[[#This Row],[Milestone 2]]</f>
        <v>0</v>
      </c>
      <c r="L94" s="60">
        <f>budgetMilestone3[[#This Row],[Milestone 3]]</f>
        <v>0</v>
      </c>
      <c r="M94" s="60"/>
      <c r="N94" s="60"/>
      <c r="O94" s="60"/>
      <c r="P94" s="60">
        <f>ROW()-ROW(budgetMilestone4[#Headers])</f>
        <v>77</v>
      </c>
      <c r="Q94" s="60">
        <f>IF(budgetMilestone4[row] &lt;= numCategories +3, budgetMilestone4[row]-1, MOD(budgetMilestone4[row]-1,numCategories+3) + IF(MOD(budgetMilestone4[row]-2,numCategories+2)&gt;numCategories+1, 1,0))</f>
        <v>10</v>
      </c>
      <c r="R94" s="60">
        <f>IFERROR(INDEX(directors[Last],MAX(1,FLOOR((budgetMilestone4[row]-1)/(numCategories+3)+1,1))),1)</f>
        <v>0</v>
      </c>
    </row>
    <row r="95" spans="1:18" ht="15" customHeight="1" x14ac:dyDescent="0.25">
      <c r="A95" s="105" t="str">
        <f ca="1"/>
        <v xml:space="preserve">0 / </v>
      </c>
      <c r="B95" s="105">
        <f ca="1"/>
        <v>0</v>
      </c>
      <c r="C95" s="105">
        <f ca="1"/>
        <v>0</v>
      </c>
      <c r="D95" s="105">
        <f ca="1"/>
        <v>0</v>
      </c>
      <c r="E95" s="105">
        <f ca="1"/>
        <v>0</v>
      </c>
      <c r="F95" s="105">
        <f ca="1"/>
        <v>0</v>
      </c>
      <c r="G95" s="105">
        <f ca="1"/>
        <v>0</v>
      </c>
      <c r="H95" s="60"/>
      <c r="I95"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xml:space="preserve">0 / </v>
      </c>
      <c r="J95" s="60">
        <f>budgetMilestone1[[#This Row],[Milestone 1]]</f>
        <v>0</v>
      </c>
      <c r="K95" s="60">
        <f>budgetMilestone2[[#This Row],[Milestone 2]]</f>
        <v>0</v>
      </c>
      <c r="L95" s="60">
        <f>budgetMilestone3[[#This Row],[Milestone 3]]</f>
        <v>0</v>
      </c>
      <c r="M95" s="60"/>
      <c r="N95" s="60"/>
      <c r="O95" s="60"/>
      <c r="P95" s="60">
        <f>ROW()-ROW(budgetMilestone4[#Headers])</f>
        <v>78</v>
      </c>
      <c r="Q95" s="60">
        <f>IF(budgetMilestone4[row] &lt;= numCategories +3, budgetMilestone4[row]-1, MOD(budgetMilestone4[row]-1,numCategories+3) + IF(MOD(budgetMilestone4[row]-2,numCategories+2)&gt;numCategories+1, 1,0))</f>
        <v>0</v>
      </c>
      <c r="R95" s="60">
        <f>IFERROR(INDEX(directors[Last],MAX(1,FLOOR((budgetMilestone4[row]-1)/(numCategories+3)+1,1))),1)</f>
        <v>0</v>
      </c>
    </row>
    <row r="96" spans="1:18" ht="15" customHeight="1" x14ac:dyDescent="0.25">
      <c r="A96" s="105" t="str">
        <f ca="1"/>
        <v>Equipment</v>
      </c>
      <c r="B96" s="105">
        <f ca="1"/>
        <v>0</v>
      </c>
      <c r="C96" s="105">
        <f ca="1"/>
        <v>0</v>
      </c>
      <c r="D96" s="105">
        <f ca="1"/>
        <v>0</v>
      </c>
      <c r="E96" s="105">
        <f ca="1"/>
        <v>0</v>
      </c>
      <c r="F96" s="105">
        <f ca="1"/>
        <v>0</v>
      </c>
      <c r="G96" s="105">
        <f ca="1"/>
        <v>0</v>
      </c>
      <c r="H96" s="60"/>
      <c r="I96"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Equipment</v>
      </c>
      <c r="J96" s="60">
        <f>budgetMilestone1[[#This Row],[Milestone 1]]</f>
        <v>0</v>
      </c>
      <c r="K96" s="60">
        <f>budgetMilestone2[[#This Row],[Milestone 2]]</f>
        <v>0</v>
      </c>
      <c r="L96" s="60">
        <f>budgetMilestone3[[#This Row],[Milestone 3]]</f>
        <v>0</v>
      </c>
      <c r="M96" s="60">
        <f>SUMIFS(ARF[Amount in Euro], ARF[Co Director],budgetMilestone4[director], ARF[Category], budgetMilestone4[Category], ARF[Date], "&gt;" &amp; cleanDateMilestone3,ARF[Date], "&lt;=" &amp; cleanDateMilestone4)</f>
        <v>0</v>
      </c>
      <c r="N96" s="85">
        <f ca="1">'Milestone 4'!$F96</f>
        <v>0</v>
      </c>
      <c r="O96" s="60">
        <f ca="1">SUM(budgetMilestone4[[#This Row],[Milestone 1]:[Final]])</f>
        <v>0</v>
      </c>
      <c r="P96" s="60">
        <f>ROW()-ROW(budgetMilestone4[#Headers])</f>
        <v>79</v>
      </c>
      <c r="Q96" s="60">
        <f>IF(budgetMilestone4[row] &lt;= numCategories +3, budgetMilestone4[row]-1, MOD(budgetMilestone4[row]-1,numCategories+3) + IF(MOD(budgetMilestone4[row]-2,numCategories+2)&gt;numCategories+1, 1,0))</f>
        <v>1</v>
      </c>
      <c r="R96" s="60">
        <f>IFERROR(INDEX(directors[Last],MAX(1,FLOOR((budgetMilestone4[row]-1)/(numCategories+3)+1,1))),1)</f>
        <v>0</v>
      </c>
    </row>
    <row r="97" spans="1:18" ht="15" customHeight="1" x14ac:dyDescent="0.25">
      <c r="A97" s="105" t="str">
        <f ca="1"/>
        <v>Training</v>
      </c>
      <c r="B97" s="105">
        <f ca="1"/>
        <v>0</v>
      </c>
      <c r="C97" s="105">
        <f ca="1"/>
        <v>0</v>
      </c>
      <c r="D97" s="105">
        <f ca="1"/>
        <v>0</v>
      </c>
      <c r="E97" s="105">
        <f ca="1"/>
        <v>0</v>
      </c>
      <c r="F97" s="105">
        <f ca="1"/>
        <v>0</v>
      </c>
      <c r="G97" s="105">
        <f ca="1"/>
        <v>0</v>
      </c>
      <c r="H97" s="60"/>
      <c r="I97"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Training</v>
      </c>
      <c r="J97" s="60">
        <f>budgetMilestone1[[#This Row],[Milestone 1]]</f>
        <v>0</v>
      </c>
      <c r="K97" s="60">
        <f>budgetMilestone2[[#This Row],[Milestone 2]]</f>
        <v>0</v>
      </c>
      <c r="L97" s="60">
        <f>budgetMilestone3[[#This Row],[Milestone 3]]</f>
        <v>0</v>
      </c>
      <c r="M97" s="60">
        <f>SUMIFS(ARF[Amount in Euro], ARF[Co Director],budgetMilestone4[director], ARF[Category], budgetMilestone4[Category], ARF[Date], "&gt;" &amp; cleanDateMilestone3,ARF[Date], "&lt;=" &amp; cleanDateMilestone4)</f>
        <v>0</v>
      </c>
      <c r="N97" s="85">
        <f ca="1">'Milestone 4'!$F97</f>
        <v>0</v>
      </c>
      <c r="O97" s="60">
        <f ca="1">SUM(budgetMilestone4[[#This Row],[Milestone 1]:[Final]])</f>
        <v>0</v>
      </c>
      <c r="P97" s="60">
        <f>ROW()-ROW(budgetMilestone4[#Headers])</f>
        <v>80</v>
      </c>
      <c r="Q97" s="60">
        <f>IF(budgetMilestone4[row] &lt;= numCategories +3, budgetMilestone4[row]-1, MOD(budgetMilestone4[row]-1,numCategories+3) + IF(MOD(budgetMilestone4[row]-2,numCategories+2)&gt;numCategories+1, 1,0))</f>
        <v>2</v>
      </c>
      <c r="R97" s="60">
        <f>IFERROR(INDEX(directors[Last],MAX(1,FLOOR((budgetMilestone4[row]-1)/(numCategories+3)+1,1))),1)</f>
        <v>0</v>
      </c>
    </row>
    <row r="98" spans="1:18" ht="15" customHeight="1" x14ac:dyDescent="0.25">
      <c r="A98" s="105" t="str">
        <f ca="1"/>
        <v>Communication &amp; Publication</v>
      </c>
      <c r="B98" s="105">
        <f ca="1"/>
        <v>0</v>
      </c>
      <c r="C98" s="105">
        <f ca="1"/>
        <v>0</v>
      </c>
      <c r="D98" s="105">
        <f ca="1"/>
        <v>0</v>
      </c>
      <c r="E98" s="105">
        <f ca="1"/>
        <v>0</v>
      </c>
      <c r="F98" s="105">
        <f ca="1"/>
        <v>0</v>
      </c>
      <c r="G98" s="105">
        <f ca="1"/>
        <v>0</v>
      </c>
      <c r="H98" s="60"/>
      <c r="I98"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Communication &amp; Publication</v>
      </c>
      <c r="J98" s="60">
        <f>budgetMilestone1[[#This Row],[Milestone 1]]</f>
        <v>0</v>
      </c>
      <c r="K98" s="60">
        <f>budgetMilestone2[[#This Row],[Milestone 2]]</f>
        <v>0</v>
      </c>
      <c r="L98" s="60">
        <f>budgetMilestone3[[#This Row],[Milestone 3]]</f>
        <v>0</v>
      </c>
      <c r="M98" s="60">
        <f>SUMIFS(ARF[Amount in Euro], ARF[Co Director],budgetMilestone4[director], ARF[Category], budgetMilestone4[Category], ARF[Date], "&gt;" &amp; cleanDateMilestone3,ARF[Date], "&lt;=" &amp; cleanDateMilestone4)</f>
        <v>0</v>
      </c>
      <c r="N98" s="85">
        <f ca="1">'Milestone 4'!$F98</f>
        <v>0</v>
      </c>
      <c r="O98" s="60">
        <f ca="1">SUM(budgetMilestone4[[#This Row],[Milestone 1]:[Final]])</f>
        <v>0</v>
      </c>
      <c r="P98" s="61">
        <f>ROW()-ROW(budgetMilestone4[#Headers])</f>
        <v>81</v>
      </c>
      <c r="Q98" s="61">
        <f>IF(budgetMilestone4[row] &lt;= numCategories +3, budgetMilestone4[row]-1, MOD(budgetMilestone4[row]-1,numCategories+3) + IF(MOD(budgetMilestone4[row]-2,numCategories+2)&gt;numCategories+1, 1,0))</f>
        <v>3</v>
      </c>
      <c r="R98" s="60">
        <f>IFERROR(INDEX(directors[Last],MAX(1,FLOOR((budgetMilestone4[row]-1)/(numCategories+3)+1,1))),1)</f>
        <v>0</v>
      </c>
    </row>
    <row r="99" spans="1:18" ht="15" customHeight="1" x14ac:dyDescent="0.25">
      <c r="A99" s="105" t="str">
        <f ca="1"/>
        <v>Travel</v>
      </c>
      <c r="B99" s="105">
        <f ca="1"/>
        <v>0</v>
      </c>
      <c r="C99" s="105">
        <f ca="1"/>
        <v>0</v>
      </c>
      <c r="D99" s="105">
        <f ca="1"/>
        <v>0</v>
      </c>
      <c r="E99" s="105">
        <f ca="1"/>
        <v>0</v>
      </c>
      <c r="F99" s="105">
        <f ca="1"/>
        <v>0</v>
      </c>
      <c r="G99" s="105">
        <f ca="1"/>
        <v>0</v>
      </c>
      <c r="H99" s="60"/>
      <c r="I99"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Travel</v>
      </c>
      <c r="J99" s="60">
        <f>budgetMilestone1[[#This Row],[Milestone 1]]</f>
        <v>0</v>
      </c>
      <c r="K99" s="60">
        <f>budgetMilestone2[[#This Row],[Milestone 2]]</f>
        <v>0</v>
      </c>
      <c r="L99" s="60">
        <f>budgetMilestone3[[#This Row],[Milestone 3]]</f>
        <v>0</v>
      </c>
      <c r="M99" s="60">
        <f>SUMIFS(ARF[Amount in Euro], ARF[Co Director],budgetMilestone4[director], ARF[Category], budgetMilestone4[Category], ARF[Date], "&gt;" &amp; cleanDateMilestone3,ARF[Date], "&lt;=" &amp; cleanDateMilestone4)</f>
        <v>0</v>
      </c>
      <c r="N99" s="85">
        <f ca="1">'Milestone 4'!$F99</f>
        <v>0</v>
      </c>
      <c r="O99" s="60">
        <f ca="1">SUM(budgetMilestone4[[#This Row],[Milestone 1]:[Final]])</f>
        <v>0</v>
      </c>
      <c r="P99" s="60">
        <f>ROW()-ROW(budgetMilestone4[#Headers])</f>
        <v>82</v>
      </c>
      <c r="Q99" s="60">
        <f>IF(budgetMilestone4[row] &lt;= numCategories +3, budgetMilestone4[row]-1, MOD(budgetMilestone4[row]-1,numCategories+3) + IF(MOD(budgetMilestone4[row]-2,numCategories+2)&gt;numCategories+1, 1,0))</f>
        <v>4</v>
      </c>
      <c r="R99" s="60">
        <f>IFERROR(INDEX(directors[Last],MAX(1,FLOOR((budgetMilestone4[row]-1)/(numCategories+3)+1,1))),1)</f>
        <v>0</v>
      </c>
    </row>
    <row r="100" spans="1:18" ht="15" customHeight="1" x14ac:dyDescent="0.25">
      <c r="A100" s="105" t="str">
        <f ca="1"/>
        <v>Consumables</v>
      </c>
      <c r="B100" s="105">
        <f ca="1"/>
        <v>0</v>
      </c>
      <c r="C100" s="105">
        <f ca="1"/>
        <v>0</v>
      </c>
      <c r="D100" s="105">
        <f ca="1"/>
        <v>0</v>
      </c>
      <c r="E100" s="105">
        <f ca="1"/>
        <v>0</v>
      </c>
      <c r="F100" s="105">
        <f ca="1"/>
        <v>0</v>
      </c>
      <c r="G100" s="105">
        <f ca="1"/>
        <v>0</v>
      </c>
      <c r="H100" s="60"/>
      <c r="I100"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Consumables</v>
      </c>
      <c r="J100" s="60">
        <f>budgetMilestone1[[#This Row],[Milestone 1]]</f>
        <v>0</v>
      </c>
      <c r="K100" s="60">
        <f>budgetMilestone2[[#This Row],[Milestone 2]]</f>
        <v>0</v>
      </c>
      <c r="L100" s="60">
        <f>budgetMilestone3[[#This Row],[Milestone 3]]</f>
        <v>0</v>
      </c>
      <c r="M100" s="60">
        <f>SUMIFS(ARF[Amount in Euro], ARF[Co Director],budgetMilestone4[director], ARF[Category], budgetMilestone4[Category], ARF[Date], "&gt;" &amp; cleanDateMilestone3,ARF[Date], "&lt;=" &amp; cleanDateMilestone4)</f>
        <v>0</v>
      </c>
      <c r="N100" s="85">
        <f ca="1">'Milestone 4'!$F100</f>
        <v>0</v>
      </c>
      <c r="O100" s="60">
        <f ca="1">SUM(budgetMilestone4[[#This Row],[Milestone 1]:[Final]])</f>
        <v>0</v>
      </c>
      <c r="P100" s="60">
        <f>ROW()-ROW(budgetMilestone4[#Headers])</f>
        <v>83</v>
      </c>
      <c r="Q100" s="60">
        <f>IF(budgetMilestone4[row] &lt;= numCategories +3, budgetMilestone4[row]-1, MOD(budgetMilestone4[row]-1,numCategories+3) + IF(MOD(budgetMilestone4[row]-2,numCategories+2)&gt;numCategories+1, 1,0))</f>
        <v>5</v>
      </c>
      <c r="R100" s="60">
        <f>IFERROR(INDEX(directors[Last],MAX(1,FLOOR((budgetMilestone4[row]-1)/(numCategories+3)+1,1))),1)</f>
        <v>0</v>
      </c>
    </row>
    <row r="101" spans="1:18" ht="15" customHeight="1" x14ac:dyDescent="0.25">
      <c r="A101" s="105" t="str">
        <f ca="1"/>
        <v>Other</v>
      </c>
      <c r="B101" s="105">
        <f ca="1"/>
        <v>0</v>
      </c>
      <c r="C101" s="105">
        <f ca="1"/>
        <v>0</v>
      </c>
      <c r="D101" s="105">
        <f ca="1"/>
        <v>0</v>
      </c>
      <c r="E101" s="105">
        <f ca="1"/>
        <v>0</v>
      </c>
      <c r="F101" s="105">
        <f ca="1"/>
        <v>0</v>
      </c>
      <c r="G101" s="105">
        <f ca="1"/>
        <v>0</v>
      </c>
      <c r="H101" s="60"/>
      <c r="I101"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Other</v>
      </c>
      <c r="J101" s="60">
        <f>budgetMilestone1[[#This Row],[Milestone 1]]</f>
        <v>0</v>
      </c>
      <c r="K101" s="60">
        <f>budgetMilestone2[[#This Row],[Milestone 2]]</f>
        <v>0</v>
      </c>
      <c r="L101" s="60">
        <f>budgetMilestone3[[#This Row],[Milestone 3]]</f>
        <v>0</v>
      </c>
      <c r="M101" s="60">
        <f>SUMIFS(ARF[Amount in Euro], ARF[Co Director],budgetMilestone4[director], ARF[Category], budgetMilestone4[Category], ARF[Date], "&gt;" &amp; cleanDateMilestone3,ARF[Date], "&lt;=" &amp; cleanDateMilestone4)</f>
        <v>0</v>
      </c>
      <c r="N101" s="85">
        <f ca="1">'Milestone 4'!$F101</f>
        <v>0</v>
      </c>
      <c r="O101" s="60">
        <f ca="1">SUM(budgetMilestone4[[#This Row],[Milestone 1]:[Final]])</f>
        <v>0</v>
      </c>
      <c r="P101" s="60">
        <f>ROW()-ROW(budgetMilestone4[#Headers])</f>
        <v>84</v>
      </c>
      <c r="Q101" s="60">
        <f>IF(budgetMilestone4[row] &lt;= numCategories +3, budgetMilestone4[row]-1, MOD(budgetMilestone4[row]-1,numCategories+3) + IF(MOD(budgetMilestone4[row]-2,numCategories+2)&gt;numCategories+1, 1,0))</f>
        <v>6</v>
      </c>
      <c r="R101" s="60">
        <f>IFERROR(INDEX(directors[Last],MAX(1,FLOOR((budgetMilestone4[row]-1)/(numCategories+3)+1,1))),1)</f>
        <v>0</v>
      </c>
    </row>
    <row r="102" spans="1:18" ht="15" customHeight="1" x14ac:dyDescent="0.25">
      <c r="A102" s="105" t="str">
        <f ca="1"/>
        <v>Stipends</v>
      </c>
      <c r="B102" s="105">
        <f ca="1"/>
        <v>0</v>
      </c>
      <c r="C102" s="105">
        <f ca="1"/>
        <v>0</v>
      </c>
      <c r="D102" s="105">
        <f ca="1"/>
        <v>0</v>
      </c>
      <c r="E102" s="105">
        <f ca="1"/>
        <v>0</v>
      </c>
      <c r="F102" s="105">
        <f ca="1"/>
        <v>0</v>
      </c>
      <c r="G102" s="105">
        <f ca="1"/>
        <v>0</v>
      </c>
      <c r="H102" s="60"/>
      <c r="I102"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Stipends</v>
      </c>
      <c r="J102" s="60">
        <f>budgetMilestone1[[#This Row],[Milestone 1]]</f>
        <v>0</v>
      </c>
      <c r="K102" s="60">
        <f>budgetMilestone2[[#This Row],[Milestone 2]]</f>
        <v>0</v>
      </c>
      <c r="L102" s="60">
        <f>budgetMilestone3[[#This Row],[Milestone 3]]</f>
        <v>0</v>
      </c>
      <c r="M102" s="60">
        <f>SUMIFS(ARF[Amount in Euro], ARF[Co Director],budgetMilestone4[director], ARF[Category], budgetMilestone4[Category], ARF[Date], "&gt;" &amp; cleanDateMilestone3,ARF[Date], "&lt;=" &amp; cleanDateMilestone4)</f>
        <v>0</v>
      </c>
      <c r="N102" s="85">
        <f ca="1">'Milestone 4'!$F102</f>
        <v>0</v>
      </c>
      <c r="O102" s="60">
        <f ca="1">SUM(budgetMilestone4[[#This Row],[Milestone 1]:[Final]])</f>
        <v>0</v>
      </c>
      <c r="P102" s="60">
        <f>ROW()-ROW(budgetMilestone4[#Headers])</f>
        <v>85</v>
      </c>
      <c r="Q102" s="60">
        <f>IF(budgetMilestone4[row] &lt;= numCategories +3, budgetMilestone4[row]-1, MOD(budgetMilestone4[row]-1,numCategories+3) + IF(MOD(budgetMilestone4[row]-2,numCategories+2)&gt;numCategories+1, 1,0))</f>
        <v>7</v>
      </c>
      <c r="R102" s="60">
        <f>IFERROR(INDEX(directors[Last],MAX(1,FLOOR((budgetMilestone4[row]-1)/(numCategories+3)+1,1))),1)</f>
        <v>0</v>
      </c>
    </row>
    <row r="103" spans="1:18" ht="15" customHeight="1" x14ac:dyDescent="0.25">
      <c r="A103" s="105" t="str">
        <f ca="1"/>
        <v>Co-financing of personnel</v>
      </c>
      <c r="B103" s="105">
        <f ca="1"/>
        <v>0</v>
      </c>
      <c r="C103" s="105">
        <f ca="1"/>
        <v>0</v>
      </c>
      <c r="D103" s="105">
        <f ca="1"/>
        <v>0</v>
      </c>
      <c r="E103" s="105">
        <f ca="1"/>
        <v>0</v>
      </c>
      <c r="F103" s="105">
        <f ca="1"/>
        <v>0</v>
      </c>
      <c r="G103" s="105">
        <f ca="1"/>
        <v>0</v>
      </c>
      <c r="H103" s="60"/>
      <c r="I103"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Co-financing of personnel</v>
      </c>
      <c r="J103" s="60">
        <f>budgetMilestone1[[#This Row],[Milestone 1]]</f>
        <v>0</v>
      </c>
      <c r="K103" s="60">
        <f>budgetMilestone2[[#This Row],[Milestone 2]]</f>
        <v>0</v>
      </c>
      <c r="L103" s="60">
        <f>budgetMilestone3[[#This Row],[Milestone 3]]</f>
        <v>0</v>
      </c>
      <c r="M103" s="60">
        <f>SUMIFS(ARF[Amount in Euro], ARF[Co Director],budgetMilestone4[director], ARF[Category], budgetMilestone4[Category], ARF[Date], "&gt;" &amp; cleanDateMilestone3,ARF[Date], "&lt;=" &amp; cleanDateMilestone4)</f>
        <v>0</v>
      </c>
      <c r="N103" s="85">
        <f ca="1">'Milestone 4'!$F103</f>
        <v>0</v>
      </c>
      <c r="O103" s="60">
        <f ca="1">SUM(budgetMilestone4[[#This Row],[Milestone 1]:[Final]])</f>
        <v>0</v>
      </c>
      <c r="P103" s="60">
        <f>ROW()-ROW(budgetMilestone4[#Headers])</f>
        <v>86</v>
      </c>
      <c r="Q103" s="60">
        <f>IF(budgetMilestone4[row] &lt;= numCategories +3, budgetMilestone4[row]-1, MOD(budgetMilestone4[row]-1,numCategories+3) + IF(MOD(budgetMilestone4[row]-2,numCategories+2)&gt;numCategories+1, 1,0))</f>
        <v>8</v>
      </c>
      <c r="R103" s="60">
        <f>IFERROR(INDEX(directors[Last],MAX(1,FLOOR((budgetMilestone4[row]-1)/(numCategories+3)+1,1))),1)</f>
        <v>0</v>
      </c>
    </row>
    <row r="104" spans="1:18" ht="15" customHeight="1" x14ac:dyDescent="0.25">
      <c r="A104" s="105" t="str">
        <f ca="1"/>
        <v>Subtotal 0</v>
      </c>
      <c r="B104" s="105">
        <f ca="1"/>
        <v>0</v>
      </c>
      <c r="C104" s="105">
        <f ca="1"/>
        <v>0</v>
      </c>
      <c r="D104" s="105">
        <f ca="1"/>
        <v>0</v>
      </c>
      <c r="E104" s="105">
        <f ca="1"/>
        <v>0</v>
      </c>
      <c r="F104" s="105">
        <f ca="1"/>
        <v>0</v>
      </c>
      <c r="G104" s="105">
        <f ca="1"/>
        <v>0</v>
      </c>
      <c r="H104" s="60"/>
      <c r="I104"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Subtotal 0</v>
      </c>
      <c r="J104" s="60">
        <f>budgetMilestone1[[#This Row],[Milestone 1]]</f>
        <v>0</v>
      </c>
      <c r="K104" s="60">
        <f>budgetMilestone2[[#This Row],[Milestone 2]]</f>
        <v>0</v>
      </c>
      <c r="L104" s="60">
        <f>budgetMilestone3[[#This Row],[Milestone 3]]</f>
        <v>0</v>
      </c>
      <c r="M104" s="60">
        <f t="shared" ref="M104" si="7">SUBTOTAL(9,M97:M103)</f>
        <v>0</v>
      </c>
      <c r="N104" s="60">
        <f t="shared" ref="N104:O104" ca="1" si="8">SUBTOTAL(9,N96:N103)</f>
        <v>0</v>
      </c>
      <c r="O104" s="60">
        <f t="shared" ca="1" si="8"/>
        <v>0</v>
      </c>
      <c r="P104" s="61">
        <f>ROW()-ROW(budgetMilestone4[#Headers])</f>
        <v>87</v>
      </c>
      <c r="Q104" s="61">
        <f>IF(budgetMilestone4[row] &lt;= numCategories +3, budgetMilestone4[row]-1, MOD(budgetMilestone4[row]-1,numCategories+3) + IF(MOD(budgetMilestone4[row]-2,numCategories+2)&gt;numCategories+1, 1,0))</f>
        <v>9</v>
      </c>
      <c r="R104" s="60">
        <f>IFERROR(INDEX(directors[Last],MAX(1,FLOOR((budgetMilestone4[row]-1)/(numCategories+3)+1,1))),1)</f>
        <v>0</v>
      </c>
    </row>
    <row r="105" spans="1:18" ht="15" customHeight="1" x14ac:dyDescent="0.25">
      <c r="A105" s="105" t="str">
        <f ca="1"/>
        <v/>
      </c>
      <c r="B105" s="105">
        <f ca="1"/>
        <v>0</v>
      </c>
      <c r="C105" s="105">
        <f ca="1"/>
        <v>0</v>
      </c>
      <c r="D105" s="105">
        <f ca="1"/>
        <v>0</v>
      </c>
      <c r="E105" s="105">
        <f ca="1"/>
        <v>0</v>
      </c>
      <c r="F105" s="105">
        <f ca="1"/>
        <v>0</v>
      </c>
      <c r="G105" s="105">
        <f ca="1"/>
        <v>0</v>
      </c>
      <c r="H105" s="60"/>
      <c r="I105"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c>
      <c r="J105" s="60">
        <f>budgetMilestone1[[#This Row],[Milestone 1]]</f>
        <v>0</v>
      </c>
      <c r="K105" s="60">
        <f>budgetMilestone2[[#This Row],[Milestone 2]]</f>
        <v>0</v>
      </c>
      <c r="L105" s="60">
        <f>budgetMilestone3[[#This Row],[Milestone 3]]</f>
        <v>0</v>
      </c>
      <c r="M105" s="60"/>
      <c r="N105" s="60"/>
      <c r="O105" s="60"/>
      <c r="P105" s="60">
        <f>ROW()-ROW(budgetMilestone4[#Headers])</f>
        <v>88</v>
      </c>
      <c r="Q105" s="60">
        <f>IF(budgetMilestone4[row] &lt;= numCategories +3, budgetMilestone4[row]-1, MOD(budgetMilestone4[row]-1,numCategories+3) + IF(MOD(budgetMilestone4[row]-2,numCategories+2)&gt;numCategories+1, 1,0))</f>
        <v>10</v>
      </c>
      <c r="R105" s="60">
        <f>IFERROR(INDEX(directors[Last],MAX(1,FLOOR((budgetMilestone4[row]-1)/(numCategories+3)+1,1))),1)</f>
        <v>0</v>
      </c>
    </row>
    <row r="106" spans="1:18" ht="15" customHeight="1" x14ac:dyDescent="0.25">
      <c r="A106" s="105" t="str">
        <f ca="1"/>
        <v xml:space="preserve">0 / </v>
      </c>
      <c r="B106" s="105">
        <f ca="1"/>
        <v>0</v>
      </c>
      <c r="C106" s="105">
        <f ca="1"/>
        <v>0</v>
      </c>
      <c r="D106" s="105">
        <f ca="1"/>
        <v>0</v>
      </c>
      <c r="E106" s="105">
        <f ca="1"/>
        <v>0</v>
      </c>
      <c r="F106" s="105">
        <f ca="1"/>
        <v>0</v>
      </c>
      <c r="G106" s="105">
        <f ca="1"/>
        <v>0</v>
      </c>
      <c r="H106" s="60"/>
      <c r="I106"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xml:space="preserve">0 / </v>
      </c>
      <c r="J106" s="60">
        <f>budgetMilestone1[[#This Row],[Milestone 1]]</f>
        <v>0</v>
      </c>
      <c r="K106" s="60">
        <f>budgetMilestone2[[#This Row],[Milestone 2]]</f>
        <v>0</v>
      </c>
      <c r="L106" s="60">
        <f>budgetMilestone3[[#This Row],[Milestone 3]]</f>
        <v>0</v>
      </c>
      <c r="M106" s="60"/>
      <c r="N106" s="60"/>
      <c r="O106" s="60"/>
      <c r="P106" s="60">
        <f>ROW()-ROW(budgetMilestone4[#Headers])</f>
        <v>89</v>
      </c>
      <c r="Q106" s="60">
        <f>IF(budgetMilestone4[row] &lt;= numCategories +3, budgetMilestone4[row]-1, MOD(budgetMilestone4[row]-1,numCategories+3) + IF(MOD(budgetMilestone4[row]-2,numCategories+2)&gt;numCategories+1, 1,0))</f>
        <v>0</v>
      </c>
      <c r="R106" s="60">
        <f>IFERROR(INDEX(directors[Last],MAX(1,FLOOR((budgetMilestone4[row]-1)/(numCategories+3)+1,1))),1)</f>
        <v>0</v>
      </c>
    </row>
    <row r="107" spans="1:18" ht="15" customHeight="1" x14ac:dyDescent="0.25">
      <c r="A107" s="105" t="str">
        <f ca="1"/>
        <v>Equipment</v>
      </c>
      <c r="B107" s="105">
        <f ca="1"/>
        <v>0</v>
      </c>
      <c r="C107" s="105">
        <f ca="1"/>
        <v>0</v>
      </c>
      <c r="D107" s="105">
        <f ca="1"/>
        <v>0</v>
      </c>
      <c r="E107" s="105">
        <f ca="1"/>
        <v>0</v>
      </c>
      <c r="F107" s="105">
        <f ca="1"/>
        <v>0</v>
      </c>
      <c r="G107" s="105">
        <f ca="1"/>
        <v>0</v>
      </c>
      <c r="H107" s="60"/>
      <c r="I107"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Equipment</v>
      </c>
      <c r="J107" s="60">
        <f>budgetMilestone1[[#This Row],[Milestone 1]]</f>
        <v>0</v>
      </c>
      <c r="K107" s="60">
        <f>budgetMilestone2[[#This Row],[Milestone 2]]</f>
        <v>0</v>
      </c>
      <c r="L107" s="60">
        <f>budgetMilestone3[[#This Row],[Milestone 3]]</f>
        <v>0</v>
      </c>
      <c r="M107" s="60">
        <f>SUMIFS(ARF[Amount in Euro], ARF[Co Director],budgetMilestone4[director], ARF[Category], budgetMilestone4[Category], ARF[Date], "&gt;" &amp; cleanDateMilestone3,ARF[Date], "&lt;=" &amp; cleanDateMilestone4)</f>
        <v>0</v>
      </c>
      <c r="N107" s="85">
        <f ca="1">'Milestone 4'!$F107</f>
        <v>0</v>
      </c>
      <c r="O107" s="60">
        <f ca="1">SUM(budgetMilestone4[[#This Row],[Milestone 1]:[Final]])</f>
        <v>0</v>
      </c>
      <c r="P107" s="61">
        <f>ROW()-ROW(budgetMilestone4[#Headers])</f>
        <v>90</v>
      </c>
      <c r="Q107" s="61">
        <f>IF(budgetMilestone4[row] &lt;= numCategories +3, budgetMilestone4[row]-1, MOD(budgetMilestone4[row]-1,numCategories+3) + IF(MOD(budgetMilestone4[row]-2,numCategories+2)&gt;numCategories+1, 1,0))</f>
        <v>1</v>
      </c>
      <c r="R107" s="60">
        <f>IFERROR(INDEX(directors[Last],MAX(1,FLOOR((budgetMilestone4[row]-1)/(numCategories+3)+1,1))),1)</f>
        <v>0</v>
      </c>
    </row>
    <row r="108" spans="1:18" ht="15" customHeight="1" x14ac:dyDescent="0.25">
      <c r="A108" s="105" t="str">
        <f ca="1"/>
        <v>Training</v>
      </c>
      <c r="B108" s="105">
        <f ca="1"/>
        <v>0</v>
      </c>
      <c r="C108" s="105">
        <f ca="1"/>
        <v>0</v>
      </c>
      <c r="D108" s="105">
        <f ca="1"/>
        <v>0</v>
      </c>
      <c r="E108" s="105">
        <f ca="1"/>
        <v>0</v>
      </c>
      <c r="F108" s="105">
        <f ca="1"/>
        <v>0</v>
      </c>
      <c r="G108" s="105">
        <f ca="1"/>
        <v>0</v>
      </c>
      <c r="H108" s="60"/>
      <c r="I108"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Training</v>
      </c>
      <c r="J108" s="60">
        <f>budgetMilestone1[[#This Row],[Milestone 1]]</f>
        <v>0</v>
      </c>
      <c r="K108" s="60">
        <f>budgetMilestone2[[#This Row],[Milestone 2]]</f>
        <v>0</v>
      </c>
      <c r="L108" s="60">
        <f>budgetMilestone3[[#This Row],[Milestone 3]]</f>
        <v>0</v>
      </c>
      <c r="M108" s="60">
        <f>SUMIFS(ARF[Amount in Euro], ARF[Co Director],budgetMilestone4[director], ARF[Category], budgetMilestone4[Category], ARF[Date], "&gt;" &amp; cleanDateMilestone3,ARF[Date], "&lt;=" &amp; cleanDateMilestone4)</f>
        <v>0</v>
      </c>
      <c r="N108" s="85">
        <f ca="1">'Milestone 4'!$F108</f>
        <v>0</v>
      </c>
      <c r="O108" s="60">
        <f ca="1">SUM(budgetMilestone4[[#This Row],[Milestone 1]:[Final]])</f>
        <v>0</v>
      </c>
      <c r="P108" s="60">
        <f>ROW()-ROW(budgetMilestone4[#Headers])</f>
        <v>91</v>
      </c>
      <c r="Q108" s="60">
        <f>IF(budgetMilestone4[row] &lt;= numCategories +3, budgetMilestone4[row]-1, MOD(budgetMilestone4[row]-1,numCategories+3) + IF(MOD(budgetMilestone4[row]-2,numCategories+2)&gt;numCategories+1, 1,0))</f>
        <v>2</v>
      </c>
      <c r="R108" s="60">
        <f>IFERROR(INDEX(directors[Last],MAX(1,FLOOR((budgetMilestone4[row]-1)/(numCategories+3)+1,1))),1)</f>
        <v>0</v>
      </c>
    </row>
    <row r="109" spans="1:18" ht="15" customHeight="1" x14ac:dyDescent="0.25">
      <c r="A109" s="105" t="str">
        <f ca="1"/>
        <v>Communication &amp; Publication</v>
      </c>
      <c r="B109" s="105">
        <f ca="1"/>
        <v>0</v>
      </c>
      <c r="C109" s="105">
        <f ca="1"/>
        <v>0</v>
      </c>
      <c r="D109" s="105">
        <f ca="1"/>
        <v>0</v>
      </c>
      <c r="E109" s="105">
        <f ca="1"/>
        <v>0</v>
      </c>
      <c r="F109" s="105">
        <f ca="1"/>
        <v>0</v>
      </c>
      <c r="G109" s="105">
        <f ca="1"/>
        <v>0</v>
      </c>
      <c r="H109" s="60"/>
      <c r="I109"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Communication &amp; Publication</v>
      </c>
      <c r="J109" s="60">
        <f>budgetMilestone1[[#This Row],[Milestone 1]]</f>
        <v>0</v>
      </c>
      <c r="K109" s="60">
        <f>budgetMilestone2[[#This Row],[Milestone 2]]</f>
        <v>0</v>
      </c>
      <c r="L109" s="60">
        <f>budgetMilestone3[[#This Row],[Milestone 3]]</f>
        <v>0</v>
      </c>
      <c r="M109" s="60">
        <f>SUMIFS(ARF[Amount in Euro], ARF[Co Director],budgetMilestone4[director], ARF[Category], budgetMilestone4[Category], ARF[Date], "&gt;" &amp; cleanDateMilestone3,ARF[Date], "&lt;=" &amp; cleanDateMilestone4)</f>
        <v>0</v>
      </c>
      <c r="N109" s="85">
        <f ca="1">'Milestone 4'!$F109</f>
        <v>0</v>
      </c>
      <c r="O109" s="60">
        <f ca="1">SUM(budgetMilestone4[[#This Row],[Milestone 1]:[Final]])</f>
        <v>0</v>
      </c>
      <c r="P109" s="61">
        <f>ROW()-ROW(budgetMilestone4[#Headers])</f>
        <v>92</v>
      </c>
      <c r="Q109" s="61">
        <f>IF(budgetMilestone4[row] &lt;= numCategories +3, budgetMilestone4[row]-1, MOD(budgetMilestone4[row]-1,numCategories+3) + IF(MOD(budgetMilestone4[row]-2,numCategories+2)&gt;numCategories+1, 1,0))</f>
        <v>3</v>
      </c>
      <c r="R109" s="60">
        <f>IFERROR(INDEX(directors[Last],MAX(1,FLOOR((budgetMilestone4[row]-1)/(numCategories+3)+1,1))),1)</f>
        <v>0</v>
      </c>
    </row>
    <row r="110" spans="1:18" ht="15" customHeight="1" x14ac:dyDescent="0.25">
      <c r="A110" s="105" t="str">
        <f ca="1"/>
        <v>Travel</v>
      </c>
      <c r="B110" s="105">
        <f ca="1"/>
        <v>0</v>
      </c>
      <c r="C110" s="105">
        <f ca="1"/>
        <v>0</v>
      </c>
      <c r="D110" s="105">
        <f ca="1"/>
        <v>0</v>
      </c>
      <c r="E110" s="105">
        <f ca="1"/>
        <v>0</v>
      </c>
      <c r="F110" s="105">
        <f ca="1"/>
        <v>0</v>
      </c>
      <c r="G110" s="105">
        <f ca="1"/>
        <v>0</v>
      </c>
      <c r="H110" s="60"/>
      <c r="I110"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Travel</v>
      </c>
      <c r="J110" s="60">
        <f>budgetMilestone1[[#This Row],[Milestone 1]]</f>
        <v>0</v>
      </c>
      <c r="K110" s="60">
        <f>budgetMilestone2[[#This Row],[Milestone 2]]</f>
        <v>0</v>
      </c>
      <c r="L110" s="60">
        <f>budgetMilestone3[[#This Row],[Milestone 3]]</f>
        <v>0</v>
      </c>
      <c r="M110" s="60">
        <f>SUMIFS(ARF[Amount in Euro], ARF[Co Director],budgetMilestone4[director], ARF[Category], budgetMilestone4[Category], ARF[Date], "&gt;" &amp; cleanDateMilestone3,ARF[Date], "&lt;=" &amp; cleanDateMilestone4)</f>
        <v>0</v>
      </c>
      <c r="N110" s="85">
        <f ca="1">'Milestone 4'!$F110</f>
        <v>0</v>
      </c>
      <c r="O110" s="60">
        <f ca="1">SUM(budgetMilestone4[[#This Row],[Milestone 1]:[Final]])</f>
        <v>0</v>
      </c>
      <c r="P110" s="60">
        <f>ROW()-ROW(budgetMilestone4[#Headers])</f>
        <v>93</v>
      </c>
      <c r="Q110" s="60">
        <f>IF(budgetMilestone4[row] &lt;= numCategories +3, budgetMilestone4[row]-1, MOD(budgetMilestone4[row]-1,numCategories+3) + IF(MOD(budgetMilestone4[row]-2,numCategories+2)&gt;numCategories+1, 1,0))</f>
        <v>4</v>
      </c>
      <c r="R110" s="60">
        <f>IFERROR(INDEX(directors[Last],MAX(1,FLOOR((budgetMilestone4[row]-1)/(numCategories+3)+1,1))),1)</f>
        <v>0</v>
      </c>
    </row>
    <row r="111" spans="1:18" ht="15" customHeight="1" x14ac:dyDescent="0.25">
      <c r="A111" s="105" t="str">
        <f ca="1"/>
        <v>Consumables</v>
      </c>
      <c r="B111" s="105">
        <f ca="1"/>
        <v>0</v>
      </c>
      <c r="C111" s="105">
        <f ca="1"/>
        <v>0</v>
      </c>
      <c r="D111" s="105">
        <f ca="1"/>
        <v>0</v>
      </c>
      <c r="E111" s="105">
        <f ca="1"/>
        <v>0</v>
      </c>
      <c r="F111" s="105">
        <f ca="1"/>
        <v>0</v>
      </c>
      <c r="G111" s="105">
        <f ca="1"/>
        <v>0</v>
      </c>
      <c r="H111" s="60"/>
      <c r="I111"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Consumables</v>
      </c>
      <c r="J111" s="60">
        <f>budgetMilestone1[[#This Row],[Milestone 1]]</f>
        <v>0</v>
      </c>
      <c r="K111" s="60">
        <f>budgetMilestone2[[#This Row],[Milestone 2]]</f>
        <v>0</v>
      </c>
      <c r="L111" s="60">
        <f>budgetMilestone3[[#This Row],[Milestone 3]]</f>
        <v>0</v>
      </c>
      <c r="M111" s="60">
        <f>SUMIFS(ARF[Amount in Euro], ARF[Co Director],budgetMilestone4[director], ARF[Category], budgetMilestone4[Category], ARF[Date], "&gt;" &amp; cleanDateMilestone3,ARF[Date], "&lt;=" &amp; cleanDateMilestone4)</f>
        <v>0</v>
      </c>
      <c r="N111" s="85">
        <f ca="1">'Milestone 4'!$F111</f>
        <v>0</v>
      </c>
      <c r="O111" s="60">
        <f ca="1">SUM(budgetMilestone4[[#This Row],[Milestone 1]:[Final]])</f>
        <v>0</v>
      </c>
      <c r="P111" s="60">
        <f>ROW()-ROW(budgetMilestone4[#Headers])</f>
        <v>94</v>
      </c>
      <c r="Q111" s="60">
        <f>IF(budgetMilestone4[row] &lt;= numCategories +3, budgetMilestone4[row]-1, MOD(budgetMilestone4[row]-1,numCategories+3) + IF(MOD(budgetMilestone4[row]-2,numCategories+2)&gt;numCategories+1, 1,0))</f>
        <v>5</v>
      </c>
      <c r="R111" s="60">
        <f>IFERROR(INDEX(directors[Last],MAX(1,FLOOR((budgetMilestone4[row]-1)/(numCategories+3)+1,1))),1)</f>
        <v>0</v>
      </c>
    </row>
    <row r="112" spans="1:18" ht="15" customHeight="1" x14ac:dyDescent="0.25">
      <c r="A112" s="105" t="str">
        <f ca="1"/>
        <v>Other</v>
      </c>
      <c r="B112" s="105">
        <f ca="1"/>
        <v>0</v>
      </c>
      <c r="C112" s="105">
        <f ca="1"/>
        <v>0</v>
      </c>
      <c r="D112" s="105">
        <f ca="1"/>
        <v>0</v>
      </c>
      <c r="E112" s="105">
        <f ca="1"/>
        <v>0</v>
      </c>
      <c r="F112" s="105">
        <f ca="1"/>
        <v>0</v>
      </c>
      <c r="G112" s="105">
        <f ca="1"/>
        <v>0</v>
      </c>
      <c r="H112" s="60"/>
      <c r="I112"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Other</v>
      </c>
      <c r="J112" s="60">
        <f>budgetMilestone1[[#This Row],[Milestone 1]]</f>
        <v>0</v>
      </c>
      <c r="K112" s="60">
        <f>budgetMilestone2[[#This Row],[Milestone 2]]</f>
        <v>0</v>
      </c>
      <c r="L112" s="60">
        <f>budgetMilestone3[[#This Row],[Milestone 3]]</f>
        <v>0</v>
      </c>
      <c r="M112" s="60">
        <f>SUMIFS(ARF[Amount in Euro], ARF[Co Director],budgetMilestone4[director], ARF[Category], budgetMilestone4[Category], ARF[Date], "&gt;" &amp; cleanDateMilestone3,ARF[Date], "&lt;=" &amp; cleanDateMilestone4)</f>
        <v>0</v>
      </c>
      <c r="N112" s="85">
        <f ca="1">'Milestone 4'!$F112</f>
        <v>0</v>
      </c>
      <c r="O112" s="60">
        <f ca="1">SUM(budgetMilestone4[[#This Row],[Milestone 1]:[Final]])</f>
        <v>0</v>
      </c>
      <c r="P112" s="61">
        <f>ROW()-ROW(budgetMilestone4[#Headers])</f>
        <v>95</v>
      </c>
      <c r="Q112" s="61">
        <f>IF(budgetMilestone4[row] &lt;= numCategories +3, budgetMilestone4[row]-1, MOD(budgetMilestone4[row]-1,numCategories+3) + IF(MOD(budgetMilestone4[row]-2,numCategories+2)&gt;numCategories+1, 1,0))</f>
        <v>6</v>
      </c>
      <c r="R112" s="60">
        <f>IFERROR(INDEX(directors[Last],MAX(1,FLOOR((budgetMilestone4[row]-1)/(numCategories+3)+1,1))),1)</f>
        <v>0</v>
      </c>
    </row>
    <row r="113" spans="1:18" ht="15" customHeight="1" x14ac:dyDescent="0.25">
      <c r="A113" s="105" t="str">
        <f ca="1"/>
        <v>Stipends</v>
      </c>
      <c r="B113" s="105">
        <f ca="1"/>
        <v>0</v>
      </c>
      <c r="C113" s="105">
        <f ca="1"/>
        <v>0</v>
      </c>
      <c r="D113" s="105">
        <f ca="1"/>
        <v>0</v>
      </c>
      <c r="E113" s="105">
        <f ca="1"/>
        <v>0</v>
      </c>
      <c r="F113" s="105">
        <f ca="1"/>
        <v>0</v>
      </c>
      <c r="G113" s="105">
        <f ca="1"/>
        <v>0</v>
      </c>
      <c r="H113" s="60"/>
      <c r="I113"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Stipends</v>
      </c>
      <c r="J113" s="60">
        <f>budgetMilestone1[[#This Row],[Milestone 1]]</f>
        <v>0</v>
      </c>
      <c r="K113" s="60">
        <f>budgetMilestone2[[#This Row],[Milestone 2]]</f>
        <v>0</v>
      </c>
      <c r="L113" s="60">
        <f>budgetMilestone3[[#This Row],[Milestone 3]]</f>
        <v>0</v>
      </c>
      <c r="M113" s="60">
        <f>SUMIFS(ARF[Amount in Euro], ARF[Co Director],budgetMilestone4[director], ARF[Category], budgetMilestone4[Category], ARF[Date], "&gt;" &amp; cleanDateMilestone3,ARF[Date], "&lt;=" &amp; cleanDateMilestone4)</f>
        <v>0</v>
      </c>
      <c r="N113" s="85">
        <f ca="1">'Milestone 4'!$F113</f>
        <v>0</v>
      </c>
      <c r="O113" s="60">
        <f ca="1">SUM(budgetMilestone4[[#This Row],[Milestone 1]:[Final]])</f>
        <v>0</v>
      </c>
      <c r="P113" s="61">
        <f>ROW()-ROW(budgetMilestone4[#Headers])</f>
        <v>96</v>
      </c>
      <c r="Q113" s="61">
        <f>IF(budgetMilestone4[row] &lt;= numCategories +3, budgetMilestone4[row]-1, MOD(budgetMilestone4[row]-1,numCategories+3) + IF(MOD(budgetMilestone4[row]-2,numCategories+2)&gt;numCategories+1, 1,0))</f>
        <v>7</v>
      </c>
      <c r="R113" s="60">
        <f>IFERROR(INDEX(directors[Last],MAX(1,FLOOR((budgetMilestone4[row]-1)/(numCategories+3)+1,1))),1)</f>
        <v>0</v>
      </c>
    </row>
    <row r="114" spans="1:18" ht="15" customHeight="1" x14ac:dyDescent="0.25">
      <c r="A114" s="105" t="str">
        <f ca="1"/>
        <v>Co-financing of personnel</v>
      </c>
      <c r="B114" s="105">
        <f ca="1"/>
        <v>0</v>
      </c>
      <c r="C114" s="105">
        <f ca="1"/>
        <v>0</v>
      </c>
      <c r="D114" s="105">
        <f ca="1"/>
        <v>0</v>
      </c>
      <c r="E114" s="105">
        <f ca="1"/>
        <v>0</v>
      </c>
      <c r="F114" s="105">
        <f ca="1"/>
        <v>0</v>
      </c>
      <c r="G114" s="105">
        <f ca="1"/>
        <v>0</v>
      </c>
      <c r="H114" s="60"/>
      <c r="I114" s="60"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Co-financing of personnel</v>
      </c>
      <c r="J114" s="60">
        <f>budgetMilestone1[[#This Row],[Milestone 1]]</f>
        <v>0</v>
      </c>
      <c r="K114" s="60">
        <f>budgetMilestone2[[#This Row],[Milestone 2]]</f>
        <v>0</v>
      </c>
      <c r="L114" s="60">
        <f>budgetMilestone3[[#This Row],[Milestone 3]]</f>
        <v>0</v>
      </c>
      <c r="M114" s="60">
        <f>SUMIFS(ARF[Amount in Euro], ARF[Co Director],budgetMilestone4[director], ARF[Category], budgetMilestone4[Category], ARF[Date], "&gt;" &amp; cleanDateMilestone3,ARF[Date], "&lt;=" &amp; cleanDateMilestone4)</f>
        <v>0</v>
      </c>
      <c r="N114" s="85">
        <f ca="1">'Milestone 4'!$F114</f>
        <v>0</v>
      </c>
      <c r="O114" s="60">
        <f ca="1">SUM(budgetMilestone4[[#This Row],[Milestone 1]:[Final]])</f>
        <v>0</v>
      </c>
      <c r="P114" s="60">
        <f>ROW()-ROW(budgetMilestone4[#Headers])</f>
        <v>97</v>
      </c>
      <c r="Q114" s="60">
        <f>IF(budgetMilestone4[row] &lt;= numCategories +3, budgetMilestone4[row]-1, MOD(budgetMilestone4[row]-1,numCategories+3) + IF(MOD(budgetMilestone4[row]-2,numCategories+2)&gt;numCategories+1, 1,0))</f>
        <v>8</v>
      </c>
      <c r="R114" s="60">
        <f>IFERROR(INDEX(directors[Last],MAX(1,FLOOR((budgetMilestone4[row]-1)/(numCategories+3)+1,1))),1)</f>
        <v>0</v>
      </c>
    </row>
    <row r="115" spans="1:18" ht="15" customHeight="1" x14ac:dyDescent="0.25">
      <c r="A115" s="105" t="str">
        <f ca="1"/>
        <v>Subtotal 0</v>
      </c>
      <c r="B115" s="105">
        <f ca="1"/>
        <v>0</v>
      </c>
      <c r="C115" s="105">
        <f ca="1"/>
        <v>0</v>
      </c>
      <c r="D115" s="105">
        <f ca="1"/>
        <v>0</v>
      </c>
      <c r="E115" s="105">
        <f ca="1"/>
        <v>0</v>
      </c>
      <c r="F115" s="105">
        <f ca="1"/>
        <v>0</v>
      </c>
      <c r="G115" s="105">
        <f ca="1"/>
        <v>0</v>
      </c>
      <c r="H115" s="60"/>
      <c r="I115"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Subtotal 0</v>
      </c>
      <c r="J115" s="60">
        <f>budgetMilestone1[[#This Row],[Milestone 1]]</f>
        <v>0</v>
      </c>
      <c r="K115" s="60">
        <f>budgetMilestone2[[#This Row],[Milestone 2]]</f>
        <v>0</v>
      </c>
      <c r="L115" s="60">
        <f>budgetMilestone3[[#This Row],[Milestone 3]]</f>
        <v>0</v>
      </c>
      <c r="M115" s="60">
        <f t="shared" ref="M115:O115" si="9">SUBTOTAL(9,M107:M114)</f>
        <v>0</v>
      </c>
      <c r="N115" s="60">
        <f t="shared" ca="1" si="9"/>
        <v>0</v>
      </c>
      <c r="O115" s="60">
        <f t="shared" ca="1" si="9"/>
        <v>0</v>
      </c>
      <c r="P115" s="61">
        <f>ROW()-ROW(budgetMilestone4[#Headers])</f>
        <v>98</v>
      </c>
      <c r="Q115" s="61">
        <f>IF(budgetMilestone4[row] &lt;= numCategories +3, budgetMilestone4[row]-1, MOD(budgetMilestone4[row]-1,numCategories+3) + IF(MOD(budgetMilestone4[row]-2,numCategories+2)&gt;numCategories+1, 1,0))</f>
        <v>9</v>
      </c>
      <c r="R115" s="60">
        <f>IFERROR(INDEX(directors[Last],MAX(1,FLOOR((budgetMilestone4[row]-1)/(numCategories+3)+1,1))),1)</f>
        <v>0</v>
      </c>
    </row>
    <row r="116" spans="1:18" ht="15" customHeight="1" x14ac:dyDescent="0.25">
      <c r="A116" s="105" t="str">
        <f ca="1"/>
        <v/>
      </c>
      <c r="B116" s="105">
        <f ca="1"/>
        <v>0</v>
      </c>
      <c r="C116" s="105">
        <f ca="1"/>
        <v>0</v>
      </c>
      <c r="D116" s="105">
        <f ca="1"/>
        <v>0</v>
      </c>
      <c r="E116" s="105">
        <f ca="1"/>
        <v>0</v>
      </c>
      <c r="F116" s="105">
        <f ca="1"/>
        <v>0</v>
      </c>
      <c r="G116" s="105">
        <f ca="1"/>
        <v>0</v>
      </c>
      <c r="H116" s="60"/>
      <c r="I116"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c>
      <c r="J116" s="60">
        <f>budgetMilestone1[[#This Row],[Milestone 1]]</f>
        <v>0</v>
      </c>
      <c r="K116" s="60">
        <f>budgetMilestone2[[#This Row],[Milestone 2]]</f>
        <v>0</v>
      </c>
      <c r="L116" s="60">
        <f>budgetMilestone3[[#This Row],[Milestone 3]]</f>
        <v>0</v>
      </c>
      <c r="M116" s="60"/>
      <c r="N116" s="60"/>
      <c r="O116" s="60"/>
      <c r="P116" s="61">
        <f>ROW()-ROW(budgetMilestone4[#Headers])</f>
        <v>99</v>
      </c>
      <c r="Q116" s="61">
        <f>IF(budgetMilestone4[row] &lt;= numCategories +3, budgetMilestone4[row]-1, MOD(budgetMilestone4[row]-1,numCategories+3) + IF(MOD(budgetMilestone4[row]-2,numCategories+2)&gt;numCategories+1, 1,0))</f>
        <v>10</v>
      </c>
      <c r="R116" s="60">
        <f>IFERROR(INDEX(directors[Last],MAX(1,FLOOR((budgetMilestone4[row]-1)/(numCategories+3)+1,1))),1)</f>
        <v>0</v>
      </c>
    </row>
    <row r="117" spans="1:18" ht="15" customHeight="1" x14ac:dyDescent="0.25">
      <c r="A117" s="119" t="str">
        <f ca="1"/>
        <v xml:space="preserve">0 / </v>
      </c>
      <c r="B117" s="119">
        <f ca="1"/>
        <v>0</v>
      </c>
      <c r="C117" s="119">
        <f ca="1"/>
        <v>0</v>
      </c>
      <c r="D117" s="119">
        <f ca="1"/>
        <v>0</v>
      </c>
      <c r="E117" s="119">
        <f ca="1"/>
        <v>0</v>
      </c>
      <c r="F117" s="119">
        <f ca="1"/>
        <v>0</v>
      </c>
      <c r="G117" s="119">
        <f ca="1"/>
        <v>0</v>
      </c>
      <c r="H117" s="60"/>
      <c r="I117"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 xml:space="preserve">0 / </v>
      </c>
      <c r="J117" s="60">
        <f>budgetMilestone1[[#This Row],[Milestone 1]]</f>
        <v>0</v>
      </c>
      <c r="K117" s="60">
        <f>budgetMilestone2[[#This Row],[Milestone 2]]</f>
        <v>0</v>
      </c>
      <c r="L117" s="60">
        <f>budgetMilestone3[[#This Row],[Milestone 3]]</f>
        <v>0</v>
      </c>
      <c r="M117" s="60"/>
      <c r="N117" s="60"/>
      <c r="O117" s="60"/>
      <c r="P117" s="61">
        <f>ROW()-ROW(budgetMilestone4[#Headers])</f>
        <v>100</v>
      </c>
      <c r="Q117" s="61">
        <f>IF(budgetMilestone4[row] &lt;= numCategories +3, budgetMilestone4[row]-1, MOD(budgetMilestone4[row]-1,numCategories+3) + IF(MOD(budgetMilestone4[row]-2,numCategories+2)&gt;numCategories+1, 1,0))</f>
        <v>0</v>
      </c>
      <c r="R117" s="60">
        <f>IFERROR(INDEX(directors[Last],MAX(1,FLOOR((budgetMilestone4[row]-1)/(numCategories+3)+1,1))),1)</f>
        <v>0</v>
      </c>
    </row>
    <row r="118" spans="1:18" x14ac:dyDescent="0.25">
      <c r="A118" s="119" t="str">
        <f ca="1"/>
        <v>Equipment</v>
      </c>
      <c r="B118" s="119">
        <f ca="1"/>
        <v>0</v>
      </c>
      <c r="C118" s="119">
        <f ca="1"/>
        <v>0</v>
      </c>
      <c r="D118" s="119">
        <f ca="1"/>
        <v>0</v>
      </c>
      <c r="E118" s="119">
        <f ca="1"/>
        <v>0</v>
      </c>
      <c r="F118" s="119">
        <f ca="1"/>
        <v>0</v>
      </c>
      <c r="G118" s="119">
        <f ca="1"/>
        <v>0</v>
      </c>
      <c r="H118" s="60"/>
      <c r="I118"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Equipment</v>
      </c>
      <c r="J118" s="60">
        <f>budgetMilestone1[[#This Row],[Milestone 1]]</f>
        <v>0</v>
      </c>
      <c r="K118" s="60">
        <f>budgetMilestone2[[#This Row],[Milestone 2]]</f>
        <v>0</v>
      </c>
      <c r="L118" s="60">
        <f>budgetMilestone3[[#This Row],[Milestone 3]]</f>
        <v>0</v>
      </c>
      <c r="M118" s="60">
        <f>SUMIFS(ARF[Amount in Euro], ARF[Co Director],budgetMilestone4[director], ARF[Category], budgetMilestone4[Category], ARF[Date], "&gt;" &amp; cleanDateMilestone3,ARF[Date], "&lt;=" &amp; cleanDateMilestone4)</f>
        <v>0</v>
      </c>
      <c r="N118" s="85">
        <f ca="1">'Milestone 4'!$F118</f>
        <v>0</v>
      </c>
      <c r="O118" s="60">
        <f ca="1">SUM(budgetMilestone4[[#This Row],[Milestone 1]:[Final]])</f>
        <v>0</v>
      </c>
      <c r="P118" s="179">
        <f>ROW()-ROW(budgetMilestone4[#Headers])</f>
        <v>101</v>
      </c>
      <c r="Q118" s="179">
        <f>IF(budgetMilestone4[row] &lt;= numCategories +3, budgetMilestone4[row]-1, MOD(budgetMilestone4[row]-1,numCategories+3) + IF(MOD(budgetMilestone4[row]-2,numCategories+2)&gt;numCategories+1, 1,0))</f>
        <v>1</v>
      </c>
      <c r="R118" s="60">
        <f>IFERROR(INDEX(directors[Last],MAX(1,FLOOR((budgetMilestone4[row]-1)/(numCategories+3)+1,1))),1)</f>
        <v>0</v>
      </c>
    </row>
    <row r="119" spans="1:18" x14ac:dyDescent="0.25">
      <c r="A119" s="119" t="str">
        <f ca="1"/>
        <v>Training</v>
      </c>
      <c r="B119" s="119">
        <f ca="1"/>
        <v>0</v>
      </c>
      <c r="C119" s="119">
        <f ca="1"/>
        <v>0</v>
      </c>
      <c r="D119" s="119">
        <f ca="1"/>
        <v>0</v>
      </c>
      <c r="E119" s="119">
        <f ca="1"/>
        <v>0</v>
      </c>
      <c r="F119" s="119">
        <f ca="1"/>
        <v>0</v>
      </c>
      <c r="G119" s="119">
        <f ca="1"/>
        <v>0</v>
      </c>
      <c r="I119"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Training</v>
      </c>
      <c r="J119" s="60">
        <f>budgetMilestone1[[#This Row],[Milestone 1]]</f>
        <v>0</v>
      </c>
      <c r="K119" s="60">
        <f>budgetMilestone2[[#This Row],[Milestone 2]]</f>
        <v>0</v>
      </c>
      <c r="L119" s="60">
        <f>budgetMilestone3[[#This Row],[Milestone 3]]</f>
        <v>0</v>
      </c>
      <c r="M119" s="60">
        <f>SUMIFS(ARF[Amount in Euro], ARF[Co Director],budgetMilestone4[director], ARF[Category], budgetMilestone4[Category], ARF[Date], "&gt;" &amp; cleanDateMilestone3,ARF[Date], "&lt;=" &amp; cleanDateMilestone4)</f>
        <v>0</v>
      </c>
      <c r="N119" s="85">
        <f ca="1">'Milestone 4'!$F119</f>
        <v>0</v>
      </c>
      <c r="O119" s="60">
        <f ca="1">SUM(budgetMilestone4[[#This Row],[Milestone 1]:[Final]])</f>
        <v>0</v>
      </c>
      <c r="P119" s="179">
        <f>ROW()-ROW(budgetMilestone4[#Headers])</f>
        <v>102</v>
      </c>
      <c r="Q119" s="179">
        <f>IF(budgetMilestone4[row] &lt;= numCategories +3, budgetMilestone4[row]-1, MOD(budgetMilestone4[row]-1,numCategories+3) + IF(MOD(budgetMilestone4[row]-2,numCategories+2)&gt;numCategories+1, 1,0))</f>
        <v>2</v>
      </c>
      <c r="R119" s="60">
        <f>IFERROR(INDEX(directors[Last],MAX(1,FLOOR((budgetMilestone4[row]-1)/(numCategories+3)+1,1))),1)</f>
        <v>0</v>
      </c>
    </row>
    <row r="120" spans="1:18" x14ac:dyDescent="0.25">
      <c r="A120" s="119" t="str">
        <f ca="1"/>
        <v>Communication &amp; Publication</v>
      </c>
      <c r="B120" s="119">
        <f ca="1"/>
        <v>0</v>
      </c>
      <c r="C120" s="119">
        <f ca="1"/>
        <v>0</v>
      </c>
      <c r="D120" s="119">
        <f ca="1"/>
        <v>0</v>
      </c>
      <c r="E120" s="119">
        <f ca="1"/>
        <v>0</v>
      </c>
      <c r="F120" s="119">
        <f ca="1"/>
        <v>0</v>
      </c>
      <c r="G120" s="119">
        <f ca="1"/>
        <v>0</v>
      </c>
      <c r="I120"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Communication &amp; Publication</v>
      </c>
      <c r="J120" s="60">
        <f>budgetMilestone1[[#This Row],[Milestone 1]]</f>
        <v>0</v>
      </c>
      <c r="K120" s="60">
        <f>budgetMilestone2[[#This Row],[Milestone 2]]</f>
        <v>0</v>
      </c>
      <c r="L120" s="60">
        <f>budgetMilestone3[[#This Row],[Milestone 3]]</f>
        <v>0</v>
      </c>
      <c r="M120" s="60">
        <f>SUMIFS(ARF[Amount in Euro], ARF[Co Director],budgetMilestone4[director], ARF[Category], budgetMilestone4[Category], ARF[Date], "&gt;" &amp; cleanDateMilestone3,ARF[Date], "&lt;=" &amp; cleanDateMilestone4)</f>
        <v>0</v>
      </c>
      <c r="N120" s="85">
        <f ca="1">'Milestone 4'!$F120</f>
        <v>0</v>
      </c>
      <c r="O120" s="60">
        <f ca="1">SUM(budgetMilestone4[[#This Row],[Milestone 1]:[Final]])</f>
        <v>0</v>
      </c>
      <c r="P120" s="179">
        <f>ROW()-ROW(budgetMilestone4[#Headers])</f>
        <v>103</v>
      </c>
      <c r="Q120" s="179">
        <f>IF(budgetMilestone4[row] &lt;= numCategories +3, budgetMilestone4[row]-1, MOD(budgetMilestone4[row]-1,numCategories+3) + IF(MOD(budgetMilestone4[row]-2,numCategories+2)&gt;numCategories+1, 1,0))</f>
        <v>3</v>
      </c>
      <c r="R120" s="60">
        <f>IFERROR(INDEX(directors[Last],MAX(1,FLOOR((budgetMilestone4[row]-1)/(numCategories+3)+1,1))),1)</f>
        <v>0</v>
      </c>
    </row>
    <row r="121" spans="1:18" x14ac:dyDescent="0.25">
      <c r="A121" s="119" t="str">
        <f ca="1"/>
        <v>Travel</v>
      </c>
      <c r="B121" s="119">
        <f ca="1"/>
        <v>0</v>
      </c>
      <c r="C121" s="119">
        <f ca="1"/>
        <v>0</v>
      </c>
      <c r="D121" s="119">
        <f ca="1"/>
        <v>0</v>
      </c>
      <c r="E121" s="119">
        <f ca="1"/>
        <v>0</v>
      </c>
      <c r="F121" s="119">
        <f ca="1"/>
        <v>0</v>
      </c>
      <c r="G121" s="119">
        <f ca="1"/>
        <v>0</v>
      </c>
      <c r="I121"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Travel</v>
      </c>
      <c r="J121" s="60">
        <f>budgetMilestone1[[#This Row],[Milestone 1]]</f>
        <v>0</v>
      </c>
      <c r="K121" s="60">
        <f>budgetMilestone2[[#This Row],[Milestone 2]]</f>
        <v>0</v>
      </c>
      <c r="L121" s="60">
        <f>budgetMilestone3[[#This Row],[Milestone 3]]</f>
        <v>0</v>
      </c>
      <c r="M121" s="60">
        <f>SUMIFS(ARF[Amount in Euro], ARF[Co Director],budgetMilestone4[director], ARF[Category], budgetMilestone4[Category], ARF[Date], "&gt;" &amp; cleanDateMilestone3,ARF[Date], "&lt;=" &amp; cleanDateMilestone4)</f>
        <v>0</v>
      </c>
      <c r="N121" s="85">
        <f ca="1">'Milestone 4'!$F121</f>
        <v>0</v>
      </c>
      <c r="O121" s="60">
        <f ca="1">SUM(budgetMilestone4[[#This Row],[Milestone 1]:[Final]])</f>
        <v>0</v>
      </c>
      <c r="P121" s="179">
        <f>ROW()-ROW(budgetMilestone4[#Headers])</f>
        <v>104</v>
      </c>
      <c r="Q121" s="179">
        <f>IF(budgetMilestone4[row] &lt;= numCategories +3, budgetMilestone4[row]-1, MOD(budgetMilestone4[row]-1,numCategories+3) + IF(MOD(budgetMilestone4[row]-2,numCategories+2)&gt;numCategories+1, 1,0))</f>
        <v>4</v>
      </c>
      <c r="R121" s="60">
        <f>IFERROR(INDEX(directors[Last],MAX(1,FLOOR((budgetMilestone4[row]-1)/(numCategories+3)+1,1))),1)</f>
        <v>0</v>
      </c>
    </row>
    <row r="122" spans="1:18" x14ac:dyDescent="0.25">
      <c r="A122" s="119" t="str">
        <f ca="1"/>
        <v>Consumables</v>
      </c>
      <c r="B122" s="119">
        <f ca="1"/>
        <v>0</v>
      </c>
      <c r="C122" s="119">
        <f ca="1"/>
        <v>0</v>
      </c>
      <c r="D122" s="119">
        <f ca="1"/>
        <v>0</v>
      </c>
      <c r="E122" s="119">
        <f ca="1"/>
        <v>0</v>
      </c>
      <c r="F122" s="119">
        <f ca="1"/>
        <v>0</v>
      </c>
      <c r="G122" s="119">
        <f ca="1"/>
        <v>0</v>
      </c>
      <c r="I122"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Consumables</v>
      </c>
      <c r="J122" s="60">
        <f>budgetMilestone1[[#This Row],[Milestone 1]]</f>
        <v>0</v>
      </c>
      <c r="K122" s="60">
        <f>budgetMilestone2[[#This Row],[Milestone 2]]</f>
        <v>0</v>
      </c>
      <c r="L122" s="60">
        <f>budgetMilestone3[[#This Row],[Milestone 3]]</f>
        <v>0</v>
      </c>
      <c r="M122" s="60">
        <f>SUMIFS(ARF[Amount in Euro], ARF[Co Director],budgetMilestone4[director], ARF[Category], budgetMilestone4[Category], ARF[Date], "&gt;" &amp; cleanDateMilestone3,ARF[Date], "&lt;=" &amp; cleanDateMilestone4)</f>
        <v>0</v>
      </c>
      <c r="N122" s="85">
        <f ca="1">'Milestone 4'!$F122</f>
        <v>0</v>
      </c>
      <c r="O122" s="60">
        <f ca="1">SUM(budgetMilestone4[[#This Row],[Milestone 1]:[Final]])</f>
        <v>0</v>
      </c>
      <c r="P122" s="179">
        <f>ROW()-ROW(budgetMilestone4[#Headers])</f>
        <v>105</v>
      </c>
      <c r="Q122" s="179">
        <f>IF(budgetMilestone4[row] &lt;= numCategories +3, budgetMilestone4[row]-1, MOD(budgetMilestone4[row]-1,numCategories+3) + IF(MOD(budgetMilestone4[row]-2,numCategories+2)&gt;numCategories+1, 1,0))</f>
        <v>5</v>
      </c>
      <c r="R122" s="60">
        <f>IFERROR(INDEX(directors[Last],MAX(1,FLOOR((budgetMilestone4[row]-1)/(numCategories+3)+1,1))),1)</f>
        <v>0</v>
      </c>
    </row>
    <row r="123" spans="1:18" x14ac:dyDescent="0.25">
      <c r="A123" s="119" t="str">
        <f ca="1"/>
        <v>Other</v>
      </c>
      <c r="B123" s="119">
        <f ca="1"/>
        <v>0</v>
      </c>
      <c r="C123" s="119">
        <f ca="1"/>
        <v>0</v>
      </c>
      <c r="D123" s="119">
        <f ca="1"/>
        <v>0</v>
      </c>
      <c r="E123" s="119">
        <f ca="1"/>
        <v>0</v>
      </c>
      <c r="F123" s="119">
        <f ca="1"/>
        <v>0</v>
      </c>
      <c r="G123" s="119">
        <f ca="1"/>
        <v>0</v>
      </c>
      <c r="I123"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Other</v>
      </c>
      <c r="J123" s="60">
        <f>budgetMilestone1[[#This Row],[Milestone 1]]</f>
        <v>0</v>
      </c>
      <c r="K123" s="60">
        <f>budgetMilestone2[[#This Row],[Milestone 2]]</f>
        <v>0</v>
      </c>
      <c r="L123" s="60">
        <f>budgetMilestone3[[#This Row],[Milestone 3]]</f>
        <v>0</v>
      </c>
      <c r="M123" s="60">
        <f>SUMIFS(ARF[Amount in Euro], ARF[Co Director],budgetMilestone4[director], ARF[Category], budgetMilestone4[Category], ARF[Date], "&gt;" &amp; cleanDateMilestone3,ARF[Date], "&lt;=" &amp; cleanDateMilestone4)</f>
        <v>0</v>
      </c>
      <c r="N123" s="85">
        <f ca="1">'Milestone 4'!$F123</f>
        <v>0</v>
      </c>
      <c r="O123" s="60">
        <f ca="1">SUM(budgetMilestone4[[#This Row],[Milestone 1]:[Final]])</f>
        <v>0</v>
      </c>
      <c r="P123" s="179">
        <f>ROW()-ROW(budgetMilestone4[#Headers])</f>
        <v>106</v>
      </c>
      <c r="Q123" s="179">
        <f>IF(budgetMilestone4[row] &lt;= numCategories +3, budgetMilestone4[row]-1, MOD(budgetMilestone4[row]-1,numCategories+3) + IF(MOD(budgetMilestone4[row]-2,numCategories+2)&gt;numCategories+1, 1,0))</f>
        <v>6</v>
      </c>
      <c r="R123" s="60">
        <f>IFERROR(INDEX(directors[Last],MAX(1,FLOOR((budgetMilestone4[row]-1)/(numCategories+3)+1,1))),1)</f>
        <v>0</v>
      </c>
    </row>
    <row r="124" spans="1:18" x14ac:dyDescent="0.25">
      <c r="A124" s="119" t="str">
        <f ca="1"/>
        <v>Stipends</v>
      </c>
      <c r="B124" s="119">
        <f ca="1"/>
        <v>0</v>
      </c>
      <c r="C124" s="119">
        <f ca="1"/>
        <v>0</v>
      </c>
      <c r="D124" s="119">
        <f ca="1"/>
        <v>0</v>
      </c>
      <c r="E124" s="119">
        <f ca="1"/>
        <v>0</v>
      </c>
      <c r="F124" s="119">
        <f ca="1"/>
        <v>0</v>
      </c>
      <c r="G124" s="119">
        <f ca="1"/>
        <v>0</v>
      </c>
      <c r="I124"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Stipends</v>
      </c>
      <c r="J124" s="60">
        <f>budgetMilestone1[[#This Row],[Milestone 1]]</f>
        <v>0</v>
      </c>
      <c r="K124" s="60">
        <f>budgetMilestone2[[#This Row],[Milestone 2]]</f>
        <v>0</v>
      </c>
      <c r="L124" s="60">
        <f>budgetMilestone3[[#This Row],[Milestone 3]]</f>
        <v>0</v>
      </c>
      <c r="M124" s="60">
        <f>SUMIFS(ARF[Amount in Euro], ARF[Co Director],budgetMilestone4[director], ARF[Category], budgetMilestone4[Category], ARF[Date], "&gt;" &amp; cleanDateMilestone3,ARF[Date], "&lt;=" &amp; cleanDateMilestone4)</f>
        <v>0</v>
      </c>
      <c r="N124" s="85">
        <f ca="1">'Milestone 4'!$F124</f>
        <v>0</v>
      </c>
      <c r="O124" s="60">
        <f ca="1">SUM(budgetMilestone4[[#This Row],[Milestone 1]:[Final]])</f>
        <v>0</v>
      </c>
      <c r="P124" s="179">
        <f>ROW()-ROW(budgetMilestone4[#Headers])</f>
        <v>107</v>
      </c>
      <c r="Q124" s="179">
        <f>IF(budgetMilestone4[row] &lt;= numCategories +3, budgetMilestone4[row]-1, MOD(budgetMilestone4[row]-1,numCategories+3) + IF(MOD(budgetMilestone4[row]-2,numCategories+2)&gt;numCategories+1, 1,0))</f>
        <v>7</v>
      </c>
      <c r="R124" s="60">
        <f>IFERROR(INDEX(directors[Last],MAX(1,FLOOR((budgetMilestone4[row]-1)/(numCategories+3)+1,1))),1)</f>
        <v>0</v>
      </c>
    </row>
    <row r="125" spans="1:18" x14ac:dyDescent="0.25">
      <c r="A125" s="119" t="str">
        <f ca="1"/>
        <v>Co-financing of personnel</v>
      </c>
      <c r="B125" s="119">
        <f ca="1"/>
        <v>0</v>
      </c>
      <c r="C125" s="119">
        <f ca="1"/>
        <v>0</v>
      </c>
      <c r="D125" s="119">
        <f ca="1"/>
        <v>0</v>
      </c>
      <c r="E125" s="119">
        <f ca="1"/>
        <v>0</v>
      </c>
      <c r="F125" s="119">
        <f ca="1"/>
        <v>0</v>
      </c>
      <c r="G125" s="119">
        <f ca="1"/>
        <v>0</v>
      </c>
      <c r="I125"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Co-financing of personnel</v>
      </c>
      <c r="J125" s="60">
        <f>budgetMilestone1[[#This Row],[Milestone 1]]</f>
        <v>0</v>
      </c>
      <c r="K125" s="60">
        <f>budgetMilestone2[[#This Row],[Milestone 2]]</f>
        <v>0</v>
      </c>
      <c r="L125" s="60">
        <f>budgetMilestone3[[#This Row],[Milestone 3]]</f>
        <v>0</v>
      </c>
      <c r="M125" s="60">
        <f>SUMIFS(ARF[Amount in Euro], ARF[Co Director],budgetMilestone4[director], ARF[Category], budgetMilestone4[Category], ARF[Date], "&gt;" &amp; cleanDateMilestone3,ARF[Date], "&lt;=" &amp; cleanDateMilestone4)</f>
        <v>0</v>
      </c>
      <c r="N125" s="85">
        <f ca="1">'Milestone 4'!$F125</f>
        <v>0</v>
      </c>
      <c r="O125" s="60">
        <f ca="1">SUM(budgetMilestone4[[#This Row],[Milestone 1]:[Final]])</f>
        <v>0</v>
      </c>
      <c r="P125" s="179">
        <f>ROW()-ROW(budgetMilestone4[#Headers])</f>
        <v>108</v>
      </c>
      <c r="Q125" s="179">
        <f>IF(budgetMilestone4[row] &lt;= numCategories +3, budgetMilestone4[row]-1, MOD(budgetMilestone4[row]-1,numCategories+3) + IF(MOD(budgetMilestone4[row]-2,numCategories+2)&gt;numCategories+1, 1,0))</f>
        <v>8</v>
      </c>
      <c r="R125" s="60">
        <f>IFERROR(INDEX(directors[Last],MAX(1,FLOOR((budgetMilestone4[row]-1)/(numCategories+3)+1,1))),1)</f>
        <v>0</v>
      </c>
    </row>
    <row r="126" spans="1:18" x14ac:dyDescent="0.25">
      <c r="A126" s="119" t="str">
        <f ca="1"/>
        <v>Subtotal 0</v>
      </c>
      <c r="B126" s="119">
        <f ca="1"/>
        <v>0</v>
      </c>
      <c r="C126" s="119">
        <f ca="1"/>
        <v>0</v>
      </c>
      <c r="D126" s="119">
        <f ca="1"/>
        <v>0</v>
      </c>
      <c r="E126" s="119">
        <f ca="1"/>
        <v>0</v>
      </c>
      <c r="F126" s="119">
        <f ca="1"/>
        <v>0</v>
      </c>
      <c r="G126" s="119">
        <f ca="1"/>
        <v>0</v>
      </c>
      <c r="I126" s="61" t="str">
        <f>IF(budgetMilestone4[catIndex]=0, budgetMilestone4[director] &amp; " / " &amp; INDEX(directors[Country],MAX(1,FLOOR((budgetMilestone4[row]-2)/(numCategories+2)+1,1))), IF(budgetMilestone4[catIndex]= numCategories + 1, "Subtotal " &amp; budgetMilestone4[director], IF(budgetMilestone4[catIndex] = numCategories + 2, "", IFERROR(INDEX(categories[],budgetMilestone4[catIndex]), ""))))</f>
        <v>Subtotal 0</v>
      </c>
      <c r="J126" s="60">
        <f>budgetMilestone1[[#This Row],[Milestone 1]]</f>
        <v>0</v>
      </c>
      <c r="K126" s="60">
        <f>budgetMilestone2[[#This Row],[Milestone 2]]</f>
        <v>0</v>
      </c>
      <c r="L126" s="60">
        <f>budgetMilestone3[[#This Row],[Milestone 3]]</f>
        <v>0</v>
      </c>
      <c r="M126" s="60">
        <f t="shared" ref="M126" si="10">SUBTOTAL(9,M119:M125)</f>
        <v>0</v>
      </c>
      <c r="N126" s="60">
        <f t="shared" ref="N126:O126" ca="1" si="11">SUBTOTAL(9,N118:N125)</f>
        <v>0</v>
      </c>
      <c r="O126" s="60">
        <f t="shared" ca="1" si="11"/>
        <v>0</v>
      </c>
      <c r="P126" s="179">
        <f>ROW()-ROW(budgetMilestone4[#Headers])</f>
        <v>109</v>
      </c>
      <c r="Q126" s="179">
        <f>IF(budgetMilestone4[row] &lt;= numCategories +3, budgetMilestone4[row]-1, MOD(budgetMilestone4[row]-1,numCategories+3) + IF(MOD(budgetMilestone4[row]-2,numCategories+2)&gt;numCategories+1, 1,0))</f>
        <v>9</v>
      </c>
      <c r="R126" s="60">
        <f>IFERROR(INDEX(directors[Last],MAX(1,FLOOR((budgetMilestone4[row]-1)/(numCategories+3)+1,1))),1)</f>
        <v>0</v>
      </c>
    </row>
  </sheetData>
  <sheetProtection sheet="1" selectLockedCells="1"/>
  <mergeCells count="10">
    <mergeCell ref="A4:G4"/>
    <mergeCell ref="I4:O4"/>
    <mergeCell ref="A1:B1"/>
    <mergeCell ref="D1:G1"/>
    <mergeCell ref="I1:K1"/>
    <mergeCell ref="L1:M1"/>
    <mergeCell ref="A2:B2"/>
    <mergeCell ref="D2:G2"/>
    <mergeCell ref="I2:K2"/>
    <mergeCell ref="L2:M2"/>
  </mergeCells>
  <conditionalFormatting sqref="A18:G126">
    <cfRule type="expression" dxfId="166" priority="7">
      <formula>ISODD(CELL("row",A18))</formula>
    </cfRule>
    <cfRule type="expression" dxfId="165" priority="8">
      <formula>ISEVEN(CELL("row",A18))</formula>
    </cfRule>
  </conditionalFormatting>
  <conditionalFormatting sqref="A18:G126 I18:R126">
    <cfRule type="expression" dxfId="164" priority="1">
      <formula>$Q18=10</formula>
    </cfRule>
    <cfRule type="expression" dxfId="163" priority="3">
      <formula>AND(CELL("Protect",A18)=0,ISODD(CELL("Row",A18)))</formula>
    </cfRule>
    <cfRule type="expression" dxfId="162" priority="4">
      <formula>AND(CELL("Protect",A18)=0,ISEVEN(CELL("Row",A18)))</formula>
    </cfRule>
    <cfRule type="expression" dxfId="161" priority="5">
      <formula>$Q18=0</formula>
    </cfRule>
    <cfRule type="expression" dxfId="160" priority="6">
      <formula>ISNUMBER(SEARCH("Subtotal",$I18))</formula>
    </cfRule>
  </conditionalFormatting>
  <conditionalFormatting sqref="R118:R126 A39:G126 I39:R117 I116:M126 O115:O126 N117:N126">
    <cfRule type="expression" dxfId="159" priority="2">
      <formula>LEN($R39)&lt;=3</formula>
    </cfRule>
  </conditionalFormatting>
  <dataValidations count="1">
    <dataValidation type="decimal" operator="greaterThanOrEqual" allowBlank="1" showInputMessage="1" showErrorMessage="1" errorTitle="Numbers only" error="Please enter numbers only." sqref="N19:N26 N28:N39 N41:N48 N63:N70 N85:N92 N107:N114 N50:N61 N72:N83 N94:N105 N116:N126 O38 O60 O82 O104 O126">
      <formula1>0</formula1>
    </dataValidation>
  </dataValidations>
  <pageMargins left="0.7" right="0.7" top="0.75" bottom="0.75" header="0.3" footer="0.3"/>
  <pageSetup paperSize="9" orientation="portrait"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6"/>
  <sheetViews>
    <sheetView showZeros="0" zoomScaleNormal="100" workbookViewId="0">
      <selection activeCell="K26" sqref="K26"/>
    </sheetView>
  </sheetViews>
  <sheetFormatPr defaultRowHeight="15" x14ac:dyDescent="0.25"/>
  <cols>
    <col min="1" max="1" width="29.5703125" customWidth="1"/>
    <col min="2" max="7" width="9.85546875" customWidth="1"/>
    <col min="8" max="8" width="1.7109375" customWidth="1"/>
    <col min="9" max="9" width="29.5703125" customWidth="1"/>
    <col min="10" max="15" width="9.85546875" customWidth="1"/>
    <col min="16" max="18" width="13.5703125" hidden="1" customWidth="1"/>
    <col min="19" max="19" width="1.7109375" customWidth="1"/>
  </cols>
  <sheetData>
    <row r="1" spans="1:18" ht="26.25" thickBot="1" x14ac:dyDescent="0.3">
      <c r="A1" s="182" t="s">
        <v>387</v>
      </c>
      <c r="B1" s="183"/>
      <c r="C1" s="76" t="s">
        <v>447</v>
      </c>
      <c r="D1" s="191" t="s">
        <v>400</v>
      </c>
      <c r="E1" s="192"/>
      <c r="F1" s="192"/>
      <c r="G1" s="192"/>
      <c r="H1" s="74"/>
      <c r="I1" s="182" t="s">
        <v>473</v>
      </c>
      <c r="J1" s="182"/>
      <c r="K1" s="183"/>
      <c r="L1" s="207" t="s">
        <v>387</v>
      </c>
      <c r="M1" s="207"/>
      <c r="N1" s="76" t="s">
        <v>447</v>
      </c>
      <c r="O1" s="60"/>
      <c r="P1" s="60"/>
      <c r="Q1" s="60"/>
      <c r="R1" s="60"/>
    </row>
    <row r="2" spans="1:18" ht="24.75" customHeight="1" x14ac:dyDescent="0.25">
      <c r="A2" s="187">
        <f>spsRefNo</f>
        <v>0</v>
      </c>
      <c r="B2" s="188"/>
      <c r="C2" s="75">
        <f>approvedBudget</f>
        <v>0</v>
      </c>
      <c r="D2" s="189">
        <f>projectTitle</f>
        <v>0</v>
      </c>
      <c r="E2" s="190"/>
      <c r="F2" s="190"/>
      <c r="G2" s="190"/>
      <c r="H2" s="60"/>
      <c r="I2" s="193">
        <f>shortTitle</f>
        <v>0</v>
      </c>
      <c r="J2" s="193"/>
      <c r="K2" s="194"/>
      <c r="L2" s="208">
        <f>spsRefNo</f>
        <v>0</v>
      </c>
      <c r="M2" s="208"/>
      <c r="N2" s="75">
        <f>approvedBudget</f>
        <v>0</v>
      </c>
      <c r="O2" s="60"/>
      <c r="P2" s="60"/>
      <c r="Q2" s="60"/>
      <c r="R2" s="60"/>
    </row>
    <row r="4" spans="1:18" ht="26.25" customHeight="1" x14ac:dyDescent="0.25">
      <c r="A4" s="186" t="s">
        <v>487</v>
      </c>
      <c r="B4" s="186"/>
      <c r="C4" s="186"/>
      <c r="D4" s="186"/>
      <c r="E4" s="186"/>
      <c r="F4" s="186"/>
      <c r="G4" s="186"/>
      <c r="H4" s="60"/>
      <c r="I4" s="186" t="s">
        <v>478</v>
      </c>
      <c r="J4" s="186"/>
      <c r="K4" s="186"/>
      <c r="L4" s="186"/>
      <c r="M4" s="186"/>
      <c r="N4" s="186"/>
      <c r="O4" s="186"/>
      <c r="P4" s="60"/>
      <c r="Q4" s="60"/>
      <c r="R4" s="60"/>
    </row>
    <row r="6" spans="1:18" ht="26.25" thickBot="1" x14ac:dyDescent="0.3">
      <c r="A6" s="106" t="str">
        <f t="array" ref="A6:G126" ca="1">OFFSET(budgetMilestone4Overall[[#Headers],[Category]],0,0,121,7)</f>
        <v>Category</v>
      </c>
      <c r="B6" s="106" t="str">
        <f ca="1"/>
        <v>Milestone 1</v>
      </c>
      <c r="C6" s="106" t="str">
        <f ca="1"/>
        <v>Milestone 2</v>
      </c>
      <c r="D6" s="106" t="str">
        <f ca="1"/>
        <v>Milestone 3</v>
      </c>
      <c r="E6" s="106" t="str">
        <f ca="1"/>
        <v>Milestone 4</v>
      </c>
      <c r="F6" s="106" t="str">
        <f ca="1"/>
        <v>Final</v>
      </c>
      <c r="G6" s="107" t="str">
        <f ca="1"/>
        <v>Total</v>
      </c>
      <c r="H6" s="60"/>
      <c r="I6" s="62" t="s">
        <v>395</v>
      </c>
      <c r="J6" s="72" t="s">
        <v>407</v>
      </c>
      <c r="K6" s="72" t="s">
        <v>408</v>
      </c>
      <c r="L6" s="72" t="s">
        <v>409</v>
      </c>
      <c r="M6" s="72" t="s">
        <v>485</v>
      </c>
      <c r="N6" s="62" t="s">
        <v>410</v>
      </c>
      <c r="O6" s="62" t="s">
        <v>403</v>
      </c>
      <c r="P6" s="62"/>
      <c r="Q6" s="62"/>
      <c r="R6" s="62"/>
    </row>
    <row r="7" spans="1:18" ht="15" customHeight="1" thickTop="1" x14ac:dyDescent="0.25">
      <c r="A7" s="108" t="str">
        <f ca="1"/>
        <v>Equipment</v>
      </c>
      <c r="B7" s="108">
        <f ca="1"/>
        <v>0</v>
      </c>
      <c r="C7" s="108">
        <f ca="1"/>
        <v>0</v>
      </c>
      <c r="D7" s="108">
        <f ca="1"/>
        <v>0</v>
      </c>
      <c r="E7" s="108">
        <f ca="1"/>
        <v>0</v>
      </c>
      <c r="F7" s="108">
        <f ca="1"/>
        <v>0</v>
      </c>
      <c r="G7" s="109">
        <f ca="1"/>
        <v>0</v>
      </c>
      <c r="H7" s="60"/>
      <c r="I7" s="60" t="str">
        <f>INDEX(categories[Expense Categories],ROW()-ROW(budgetFinalOverall[#Headers]))</f>
        <v>Equipment</v>
      </c>
      <c r="J7" s="60">
        <f>SUMIFS(budgetFinal[Milestone 1],budgetFinal[Category],budgetFinalOverall[[#This Row],[Category]],budgetFinal[director], "&lt;&gt;1")</f>
        <v>0</v>
      </c>
      <c r="K7" s="60">
        <f>SUMIFS(budgetFinal[Milestone 2],budgetFinal[Category],budgetFinalOverall[[#This Row],[Category]],budgetFinal[director], "&lt;&gt;1")</f>
        <v>0</v>
      </c>
      <c r="L7" s="60">
        <f>SUMIFS(budgetFinal[Milestone 3],budgetFinal[Category],budgetFinalOverall[[#This Row],[Category]],budgetFinal[director], "&lt;&gt;1")</f>
        <v>0</v>
      </c>
      <c r="M7" s="60">
        <f>SUMIFS(budgetFinal[Milestone 4],budgetFinal[Category],budgetFinalOverall[[#This Row],[Category]],budgetFinal[director], "&lt;&gt;1")</f>
        <v>0</v>
      </c>
      <c r="N7" s="60">
        <f>SUMIFS(budgetFinal[Final],budgetFinal[Category],budgetFinalOverall[[#This Row],[Category]],budgetFinal[director], "&lt;&gt;1")</f>
        <v>0</v>
      </c>
      <c r="O7" s="60">
        <f>SUM(budgetFinalOverall[[#This Row],[Milestone 1]:[Final]])</f>
        <v>0</v>
      </c>
      <c r="P7" s="60"/>
      <c r="Q7" s="60"/>
      <c r="R7" s="60"/>
    </row>
    <row r="8" spans="1:18" ht="15" customHeight="1" x14ac:dyDescent="0.25">
      <c r="A8" s="110" t="str">
        <f ca="1"/>
        <v>Training</v>
      </c>
      <c r="B8" s="110">
        <f ca="1"/>
        <v>0</v>
      </c>
      <c r="C8" s="110">
        <f ca="1"/>
        <v>0</v>
      </c>
      <c r="D8" s="110">
        <f ca="1"/>
        <v>0</v>
      </c>
      <c r="E8" s="110">
        <f ca="1"/>
        <v>0</v>
      </c>
      <c r="F8" s="110">
        <f ca="1"/>
        <v>0</v>
      </c>
      <c r="G8" s="111">
        <f ca="1"/>
        <v>0</v>
      </c>
      <c r="H8" s="60"/>
      <c r="I8" s="60" t="str">
        <f>INDEX(categories[Expense Categories],ROW()-ROW(budgetFinalOverall[#Headers]))</f>
        <v>Training</v>
      </c>
      <c r="J8" s="60">
        <f>SUMIFS(budgetFinal[Milestone 1],budgetFinal[Category],budgetFinalOverall[[#This Row],[Category]],budgetFinal[director], "&lt;&gt;1")</f>
        <v>0</v>
      </c>
      <c r="K8" s="60">
        <f>SUMIFS(budgetFinal[Milestone 2],budgetFinal[Category],budgetFinalOverall[[#This Row],[Category]],budgetFinal[director], "&lt;&gt;1")</f>
        <v>0</v>
      </c>
      <c r="L8" s="60">
        <f>SUMIFS(budgetFinal[Milestone 3],budgetFinal[Category],budgetFinalOverall[[#This Row],[Category]],budgetFinal[director], "&lt;&gt;1")</f>
        <v>0</v>
      </c>
      <c r="M8" s="60">
        <f>SUMIFS(budgetFinal[Milestone 4],budgetFinal[Category],budgetFinalOverall[[#This Row],[Category]],budgetFinal[director], "&lt;&gt;1")</f>
        <v>0</v>
      </c>
      <c r="N8" s="60">
        <f>SUMIFS(budgetFinal[Final],budgetFinal[Category],budgetFinalOverall[[#This Row],[Category]],budgetFinal[director], "&lt;&gt;1")</f>
        <v>0</v>
      </c>
      <c r="O8" s="60">
        <f>SUM(budgetFinalOverall[[#This Row],[Milestone 1]:[Final]])</f>
        <v>0</v>
      </c>
      <c r="P8" s="60"/>
      <c r="Q8" s="60"/>
      <c r="R8" s="60"/>
    </row>
    <row r="9" spans="1:18" ht="15" customHeight="1" x14ac:dyDescent="0.25">
      <c r="A9" s="108" t="str">
        <f ca="1"/>
        <v>Communication &amp; Publication</v>
      </c>
      <c r="B9" s="108">
        <f ca="1"/>
        <v>0</v>
      </c>
      <c r="C9" s="108">
        <f ca="1"/>
        <v>0</v>
      </c>
      <c r="D9" s="108">
        <f ca="1"/>
        <v>0</v>
      </c>
      <c r="E9" s="108">
        <f ca="1"/>
        <v>0</v>
      </c>
      <c r="F9" s="108">
        <f ca="1"/>
        <v>0</v>
      </c>
      <c r="G9" s="109">
        <f ca="1"/>
        <v>0</v>
      </c>
      <c r="H9" s="60"/>
      <c r="I9" s="60" t="str">
        <f>INDEX(categories[Expense Categories],ROW()-ROW(budgetFinalOverall[#Headers]))</f>
        <v>Communication &amp; Publication</v>
      </c>
      <c r="J9" s="60">
        <f>SUMIFS(budgetFinal[Milestone 1],budgetFinal[Category],budgetFinalOverall[[#This Row],[Category]],budgetFinal[director], "&lt;&gt;1")</f>
        <v>0</v>
      </c>
      <c r="K9" s="60">
        <f>SUMIFS(budgetFinal[Milestone 2],budgetFinal[Category],budgetFinalOverall[[#This Row],[Category]],budgetFinal[director], "&lt;&gt;1")</f>
        <v>0</v>
      </c>
      <c r="L9" s="60">
        <f>SUMIFS(budgetFinal[Milestone 3],budgetFinal[Category],budgetFinalOverall[[#This Row],[Category]],budgetFinal[director], "&lt;&gt;1")</f>
        <v>0</v>
      </c>
      <c r="M9" s="60">
        <f>SUMIFS(budgetFinal[Milestone 4],budgetFinal[Category],budgetFinalOverall[[#This Row],[Category]],budgetFinal[director], "&lt;&gt;1")</f>
        <v>0</v>
      </c>
      <c r="N9" s="60">
        <f>SUMIFS(budgetFinal[Final],budgetFinal[Category],budgetFinalOverall[[#This Row],[Category]],budgetFinal[director], "&lt;&gt;1")</f>
        <v>0</v>
      </c>
      <c r="O9" s="60">
        <f>SUM(budgetFinalOverall[[#This Row],[Milestone 1]:[Final]])</f>
        <v>0</v>
      </c>
      <c r="P9" s="60"/>
      <c r="Q9" s="60"/>
      <c r="R9" s="60"/>
    </row>
    <row r="10" spans="1:18" ht="15" customHeight="1" x14ac:dyDescent="0.25">
      <c r="A10" s="110" t="str">
        <f ca="1"/>
        <v>Travel</v>
      </c>
      <c r="B10" s="110">
        <f ca="1"/>
        <v>0</v>
      </c>
      <c r="C10" s="110">
        <f ca="1"/>
        <v>0</v>
      </c>
      <c r="D10" s="110">
        <f ca="1"/>
        <v>0</v>
      </c>
      <c r="E10" s="110">
        <f ca="1"/>
        <v>0</v>
      </c>
      <c r="F10" s="110">
        <f ca="1"/>
        <v>0</v>
      </c>
      <c r="G10" s="111">
        <f ca="1"/>
        <v>0</v>
      </c>
      <c r="H10" s="60"/>
      <c r="I10" s="60" t="str">
        <f>INDEX(categories[Expense Categories],ROW()-ROW(budgetFinalOverall[#Headers]))</f>
        <v>Travel</v>
      </c>
      <c r="J10" s="60">
        <f>SUMIFS(budgetFinal[Milestone 1],budgetFinal[Category],budgetFinalOverall[[#This Row],[Category]],budgetFinal[director], "&lt;&gt;1")</f>
        <v>0</v>
      </c>
      <c r="K10" s="60">
        <f>SUMIFS(budgetFinal[Milestone 2],budgetFinal[Category],budgetFinalOverall[[#This Row],[Category]],budgetFinal[director], "&lt;&gt;1")</f>
        <v>0</v>
      </c>
      <c r="L10" s="60">
        <f>SUMIFS(budgetFinal[Milestone 3],budgetFinal[Category],budgetFinalOverall[[#This Row],[Category]],budgetFinal[director], "&lt;&gt;1")</f>
        <v>0</v>
      </c>
      <c r="M10" s="60">
        <f>SUMIFS(budgetFinal[Milestone 4],budgetFinal[Category],budgetFinalOverall[[#This Row],[Category]],budgetFinal[director], "&lt;&gt;1")</f>
        <v>0</v>
      </c>
      <c r="N10" s="60">
        <f>SUMIFS(budgetFinal[Final],budgetFinal[Category],budgetFinalOverall[[#This Row],[Category]],budgetFinal[director], "&lt;&gt;1")</f>
        <v>0</v>
      </c>
      <c r="O10" s="60">
        <f>SUM(budgetFinalOverall[[#This Row],[Milestone 1]:[Final]])</f>
        <v>0</v>
      </c>
      <c r="P10" s="60"/>
      <c r="Q10" s="60"/>
      <c r="R10" s="60"/>
    </row>
    <row r="11" spans="1:18" ht="15" customHeight="1" x14ac:dyDescent="0.25">
      <c r="A11" s="108" t="str">
        <f ca="1"/>
        <v>Consumables</v>
      </c>
      <c r="B11" s="108">
        <f ca="1"/>
        <v>0</v>
      </c>
      <c r="C11" s="108">
        <f ca="1"/>
        <v>0</v>
      </c>
      <c r="D11" s="108">
        <f ca="1"/>
        <v>0</v>
      </c>
      <c r="E11" s="108">
        <f ca="1"/>
        <v>0</v>
      </c>
      <c r="F11" s="108">
        <f ca="1"/>
        <v>0</v>
      </c>
      <c r="G11" s="109">
        <f ca="1"/>
        <v>0</v>
      </c>
      <c r="H11" s="60"/>
      <c r="I11" s="60" t="str">
        <f>INDEX(categories[Expense Categories],ROW()-ROW(budgetFinalOverall[#Headers]))</f>
        <v>Consumables</v>
      </c>
      <c r="J11" s="60">
        <f>SUMIFS(budgetFinal[Milestone 1],budgetFinal[Category],budgetFinalOverall[[#This Row],[Category]],budgetFinal[director], "&lt;&gt;1")</f>
        <v>0</v>
      </c>
      <c r="K11" s="60">
        <f>SUMIFS(budgetFinal[Milestone 2],budgetFinal[Category],budgetFinalOverall[[#This Row],[Category]],budgetFinal[director], "&lt;&gt;1")</f>
        <v>0</v>
      </c>
      <c r="L11" s="60">
        <f>SUMIFS(budgetFinal[Milestone 3],budgetFinal[Category],budgetFinalOverall[[#This Row],[Category]],budgetFinal[director], "&lt;&gt;1")</f>
        <v>0</v>
      </c>
      <c r="M11" s="60">
        <f>SUMIFS(budgetFinal[Milestone 4],budgetFinal[Category],budgetFinalOverall[[#This Row],[Category]],budgetFinal[director], "&lt;&gt;1")</f>
        <v>0</v>
      </c>
      <c r="N11" s="60">
        <f>SUMIFS(budgetFinal[Final],budgetFinal[Category],budgetFinalOverall[[#This Row],[Category]],budgetFinal[director], "&lt;&gt;1")</f>
        <v>0</v>
      </c>
      <c r="O11" s="60">
        <f>SUM(budgetFinalOverall[[#This Row],[Milestone 1]:[Final]])</f>
        <v>0</v>
      </c>
      <c r="P11" s="60"/>
      <c r="Q11" s="60"/>
      <c r="R11" s="60"/>
    </row>
    <row r="12" spans="1:18" ht="15" customHeight="1" x14ac:dyDescent="0.25">
      <c r="A12" s="110" t="str">
        <f ca="1"/>
        <v>Other</v>
      </c>
      <c r="B12" s="110">
        <f ca="1"/>
        <v>0</v>
      </c>
      <c r="C12" s="110">
        <f ca="1"/>
        <v>0</v>
      </c>
      <c r="D12" s="110">
        <f ca="1"/>
        <v>0</v>
      </c>
      <c r="E12" s="110">
        <f ca="1"/>
        <v>0</v>
      </c>
      <c r="F12" s="110">
        <f ca="1"/>
        <v>0</v>
      </c>
      <c r="G12" s="111">
        <f ca="1"/>
        <v>0</v>
      </c>
      <c r="H12" s="60"/>
      <c r="I12" s="60" t="str">
        <f>INDEX(categories[Expense Categories],ROW()-ROW(budgetFinalOverall[#Headers]))</f>
        <v>Other</v>
      </c>
      <c r="J12" s="60">
        <f>SUMIFS(budgetFinal[Milestone 1],budgetFinal[Category],budgetFinalOverall[[#This Row],[Category]],budgetFinal[director], "&lt;&gt;1")</f>
        <v>0</v>
      </c>
      <c r="K12" s="60">
        <f>SUMIFS(budgetFinal[Milestone 2],budgetFinal[Category],budgetFinalOverall[[#This Row],[Category]],budgetFinal[director], "&lt;&gt;1")</f>
        <v>0</v>
      </c>
      <c r="L12" s="60">
        <f>SUMIFS(budgetFinal[Milestone 3],budgetFinal[Category],budgetFinalOverall[[#This Row],[Category]],budgetFinal[director], "&lt;&gt;1")</f>
        <v>0</v>
      </c>
      <c r="M12" s="60">
        <f>SUMIFS(budgetFinal[Milestone 4],budgetFinal[Category],budgetFinalOverall[[#This Row],[Category]],budgetFinal[director], "&lt;&gt;1")</f>
        <v>0</v>
      </c>
      <c r="N12" s="60">
        <f>SUMIFS(budgetFinal[Final],budgetFinal[Category],budgetFinalOverall[[#This Row],[Category]],budgetFinal[director], "&lt;&gt;1")</f>
        <v>0</v>
      </c>
      <c r="O12" s="60">
        <f>SUM(budgetFinalOverall[[#This Row],[Milestone 1]:[Final]])</f>
        <v>0</v>
      </c>
      <c r="P12" s="60"/>
      <c r="Q12" s="60"/>
      <c r="R12" s="60"/>
    </row>
    <row r="13" spans="1:18" ht="15" customHeight="1" x14ac:dyDescent="0.25">
      <c r="A13" s="108" t="str">
        <f ca="1"/>
        <v>Stipends</v>
      </c>
      <c r="B13" s="108">
        <f ca="1"/>
        <v>0</v>
      </c>
      <c r="C13" s="108">
        <f ca="1"/>
        <v>0</v>
      </c>
      <c r="D13" s="108">
        <f ca="1"/>
        <v>0</v>
      </c>
      <c r="E13" s="108">
        <f ca="1"/>
        <v>0</v>
      </c>
      <c r="F13" s="108">
        <f ca="1"/>
        <v>0</v>
      </c>
      <c r="G13" s="109">
        <f ca="1"/>
        <v>0</v>
      </c>
      <c r="H13" s="60"/>
      <c r="I13" s="60" t="str">
        <f>INDEX(categories[Expense Categories],ROW()-ROW(budgetFinalOverall[#Headers]))</f>
        <v>Stipends</v>
      </c>
      <c r="J13" s="60">
        <f>SUMIFS(budgetFinal[Milestone 1],budgetFinal[Category],budgetFinalOverall[[#This Row],[Category]],budgetFinal[director], "&lt;&gt;1")</f>
        <v>0</v>
      </c>
      <c r="K13" s="60">
        <f>SUMIFS(budgetFinal[Milestone 2],budgetFinal[Category],budgetFinalOverall[[#This Row],[Category]],budgetFinal[director], "&lt;&gt;1")</f>
        <v>0</v>
      </c>
      <c r="L13" s="60">
        <f>SUMIFS(budgetFinal[Milestone 3],budgetFinal[Category],budgetFinalOverall[[#This Row],[Category]],budgetFinal[director], "&lt;&gt;1")</f>
        <v>0</v>
      </c>
      <c r="M13" s="60">
        <f>SUMIFS(budgetFinal[Milestone 4],budgetFinal[Category],budgetFinalOverall[[#This Row],[Category]],budgetFinal[director], "&lt;&gt;1")</f>
        <v>0</v>
      </c>
      <c r="N13" s="60">
        <f>SUMIFS(budgetFinal[Final],budgetFinal[Category],budgetFinalOverall[[#This Row],[Category]],budgetFinal[director], "&lt;&gt;1")</f>
        <v>0</v>
      </c>
      <c r="O13" s="60">
        <f>SUM(budgetFinalOverall[[#This Row],[Milestone 1]:[Final]])</f>
        <v>0</v>
      </c>
      <c r="P13" s="60"/>
      <c r="Q13" s="60"/>
      <c r="R13" s="60"/>
    </row>
    <row r="14" spans="1:18" ht="15" customHeight="1" thickBot="1" x14ac:dyDescent="0.3">
      <c r="A14" s="112" t="str">
        <f ca="1"/>
        <v>Co-financing of personnel</v>
      </c>
      <c r="B14" s="112">
        <f ca="1"/>
        <v>0</v>
      </c>
      <c r="C14" s="112">
        <f ca="1"/>
        <v>0</v>
      </c>
      <c r="D14" s="112">
        <f ca="1"/>
        <v>0</v>
      </c>
      <c r="E14" s="112">
        <f ca="1"/>
        <v>0</v>
      </c>
      <c r="F14" s="112">
        <f ca="1"/>
        <v>0</v>
      </c>
      <c r="G14" s="113">
        <f ca="1"/>
        <v>0</v>
      </c>
      <c r="H14" s="60"/>
      <c r="I14" s="60" t="str">
        <f>INDEX(categories[Expense Categories],ROW()-ROW(budgetFinalOverall[#Headers]))</f>
        <v>Co-financing of personnel</v>
      </c>
      <c r="J14" s="60">
        <f>SUMIFS(budgetFinal[Milestone 1],budgetFinal[Category],budgetFinalOverall[[#This Row],[Category]],budgetFinal[director], "&lt;&gt;1")</f>
        <v>0</v>
      </c>
      <c r="K14" s="60">
        <f>SUMIFS(budgetFinal[Milestone 2],budgetFinal[Category],budgetFinalOverall[[#This Row],[Category]],budgetFinal[director], "&lt;&gt;1")</f>
        <v>0</v>
      </c>
      <c r="L14" s="60">
        <f>SUMIFS(budgetFinal[Milestone 3],budgetFinal[Category],budgetFinalOverall[[#This Row],[Category]],budgetFinal[director], "&lt;&gt;1")</f>
        <v>0</v>
      </c>
      <c r="M14" s="60">
        <f>SUMIFS(budgetFinal[Milestone 4],budgetFinal[Category],budgetFinalOverall[[#This Row],[Category]],budgetFinal[director], "&lt;&gt;1")</f>
        <v>0</v>
      </c>
      <c r="N14" s="60">
        <f>SUMIFS(budgetFinal[Final],budgetFinal[Category],budgetFinalOverall[[#This Row],[Category]],budgetFinal[director], "&lt;&gt;1")</f>
        <v>0</v>
      </c>
      <c r="O14" s="60">
        <f>SUM(budgetFinalOverall[[#This Row],[Milestone 1]:[Final]])</f>
        <v>0</v>
      </c>
      <c r="P14" s="60"/>
      <c r="Q14" s="60"/>
      <c r="R14" s="60"/>
    </row>
    <row r="15" spans="1:18" ht="15" customHeight="1" thickTop="1" x14ac:dyDescent="0.25">
      <c r="A15" s="114" t="str">
        <f ca="1"/>
        <v>Total</v>
      </c>
      <c r="B15" s="114">
        <f ca="1"/>
        <v>0</v>
      </c>
      <c r="C15" s="114">
        <f ca="1"/>
        <v>0</v>
      </c>
      <c r="D15" s="114">
        <f ca="1"/>
        <v>0</v>
      </c>
      <c r="E15" s="114">
        <f ca="1"/>
        <v>0</v>
      </c>
      <c r="F15" s="114">
        <f ca="1"/>
        <v>0</v>
      </c>
      <c r="G15" s="115">
        <f ca="1"/>
        <v>0</v>
      </c>
      <c r="H15" s="60"/>
      <c r="I15" s="179" t="s">
        <v>403</v>
      </c>
      <c r="J15" s="179">
        <f>SUBTOTAL(109,budgetFinalOverall[Milestone 1])</f>
        <v>0</v>
      </c>
      <c r="K15" s="179">
        <f>SUBTOTAL(109,budgetFinalOverall[Milestone 2])</f>
        <v>0</v>
      </c>
      <c r="L15" s="179">
        <f>SUBTOTAL(109,budgetFinalOverall[Milestone 3])</f>
        <v>0</v>
      </c>
      <c r="M15" s="179">
        <f>SUBTOTAL(109,budgetFinalOverall[Milestone 4])</f>
        <v>0</v>
      </c>
      <c r="N15" s="179">
        <f>SUBTOTAL(109,budgetFinalOverall[Final])</f>
        <v>0</v>
      </c>
      <c r="O15" s="179">
        <f>SUBTOTAL(109,budgetFinalOverall[Total])</f>
        <v>0</v>
      </c>
      <c r="P15" s="47"/>
      <c r="Q15" s="47"/>
      <c r="R15" s="47"/>
    </row>
    <row r="16" spans="1:18" ht="15" customHeight="1" x14ac:dyDescent="0.25">
      <c r="A16" s="60">
        <f ca="1"/>
        <v>0</v>
      </c>
      <c r="B16" s="60">
        <f ca="1"/>
        <v>0</v>
      </c>
      <c r="C16" s="60">
        <f ca="1"/>
        <v>0</v>
      </c>
      <c r="D16" s="60">
        <f ca="1"/>
        <v>0</v>
      </c>
      <c r="E16" s="60">
        <f ca="1"/>
        <v>0</v>
      </c>
      <c r="F16" s="60">
        <f ca="1"/>
        <v>0</v>
      </c>
      <c r="G16" s="60">
        <f ca="1"/>
        <v>0</v>
      </c>
      <c r="H16" s="60"/>
      <c r="I16" s="60"/>
      <c r="J16" s="60"/>
      <c r="K16" s="60"/>
      <c r="L16" s="60"/>
      <c r="M16" s="60"/>
      <c r="N16" s="60"/>
      <c r="O16" s="60"/>
      <c r="P16" s="60"/>
      <c r="Q16" s="60"/>
      <c r="R16" s="60"/>
    </row>
    <row r="17" spans="1:18" ht="26.25" thickBot="1" x14ac:dyDescent="0.3">
      <c r="A17" s="106" t="str">
        <f ca="1"/>
        <v>Category</v>
      </c>
      <c r="B17" s="106" t="str">
        <f ca="1"/>
        <v>Milestone 1</v>
      </c>
      <c r="C17" s="106" t="str">
        <f ca="1"/>
        <v>Milestone 2</v>
      </c>
      <c r="D17" s="106" t="str">
        <f ca="1"/>
        <v>Milestone 3</v>
      </c>
      <c r="E17" s="106" t="str">
        <f ca="1"/>
        <v>Milestone 4</v>
      </c>
      <c r="F17" s="106" t="str">
        <f ca="1"/>
        <v>Final</v>
      </c>
      <c r="G17" s="106" t="str">
        <f ca="1"/>
        <v>Total</v>
      </c>
      <c r="H17" s="60"/>
      <c r="I17" s="62" t="s">
        <v>395</v>
      </c>
      <c r="J17" s="72" t="s">
        <v>407</v>
      </c>
      <c r="K17" s="72" t="s">
        <v>408</v>
      </c>
      <c r="L17" s="72" t="s">
        <v>409</v>
      </c>
      <c r="M17" s="72" t="s">
        <v>485</v>
      </c>
      <c r="N17" s="62" t="s">
        <v>410</v>
      </c>
      <c r="O17" s="81" t="s">
        <v>403</v>
      </c>
      <c r="P17" s="62" t="s">
        <v>427</v>
      </c>
      <c r="Q17" s="62" t="s">
        <v>428</v>
      </c>
      <c r="R17" s="62" t="s">
        <v>429</v>
      </c>
    </row>
    <row r="18" spans="1:18" ht="15" customHeight="1" thickTop="1" x14ac:dyDescent="0.25">
      <c r="A18" s="105" t="str">
        <f ca="1"/>
        <v xml:space="preserve">0 / </v>
      </c>
      <c r="B18" s="105">
        <f ca="1"/>
        <v>0</v>
      </c>
      <c r="C18" s="105">
        <f ca="1"/>
        <v>0</v>
      </c>
      <c r="D18" s="105">
        <f ca="1"/>
        <v>0</v>
      </c>
      <c r="E18" s="105">
        <f ca="1"/>
        <v>0</v>
      </c>
      <c r="F18" s="105">
        <f ca="1"/>
        <v>0</v>
      </c>
      <c r="G18" s="105">
        <f ca="1"/>
        <v>0</v>
      </c>
      <c r="H18" s="60"/>
      <c r="I18"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xml:space="preserve">0 / </v>
      </c>
      <c r="J18" s="60">
        <f>budgetMilestone1[[#This Row],[Milestone 1]]</f>
        <v>0</v>
      </c>
      <c r="K18" s="60">
        <f>budgetMilestone2[[#This Row],[Milestone 2]]</f>
        <v>0</v>
      </c>
      <c r="L18" s="60">
        <f>budgetMilestone3[[#This Row],[Milestone 3]]</f>
        <v>0</v>
      </c>
      <c r="M18" s="60">
        <f>budgetMilestone4[[#This Row],[Milestone 4]]</f>
        <v>0</v>
      </c>
      <c r="N18" s="60"/>
      <c r="O18" s="60"/>
      <c r="P18" s="60">
        <f>ROW()-ROW(budgetFinal[#Headers])</f>
        <v>1</v>
      </c>
      <c r="Q18" s="60">
        <f>IF(budgetFinal[row] &lt;= numCategories +3, budgetFinal[row]-1, MOD(budgetFinal[row]-1,numCategories+3) + IF(MOD(budgetFinal[row]-2,numCategories+2)&gt;numCategories+1, 1,0))</f>
        <v>0</v>
      </c>
      <c r="R18" s="60">
        <f>IFERROR(INDEX(directors[Last],MAX(1,FLOOR((budgetFinal[row]-1)/(numCategories+3)+1,1))),1)</f>
        <v>0</v>
      </c>
    </row>
    <row r="19" spans="1:18" ht="15" customHeight="1" x14ac:dyDescent="0.25">
      <c r="A19" s="105" t="str">
        <f ca="1"/>
        <v>Equipment</v>
      </c>
      <c r="B19" s="105">
        <f ca="1"/>
        <v>0</v>
      </c>
      <c r="C19" s="105">
        <f ca="1"/>
        <v>0</v>
      </c>
      <c r="D19" s="105">
        <f ca="1"/>
        <v>0</v>
      </c>
      <c r="E19" s="105">
        <f ca="1"/>
        <v>0</v>
      </c>
      <c r="F19" s="105">
        <f ca="1"/>
        <v>0</v>
      </c>
      <c r="G19" s="105">
        <f ca="1"/>
        <v>0</v>
      </c>
      <c r="H19" s="60"/>
      <c r="I19"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Equipment</v>
      </c>
      <c r="J19" s="60">
        <f>budgetMilestone1[[#This Row],[Milestone 1]]</f>
        <v>0</v>
      </c>
      <c r="K19" s="60">
        <f>budgetMilestone2[[#This Row],[Milestone 2]]</f>
        <v>0</v>
      </c>
      <c r="L19" s="60">
        <f>budgetMilestone3[[#This Row],[Milestone 3]]</f>
        <v>0</v>
      </c>
      <c r="M19" s="60">
        <f>budgetMilestone4[[#This Row],[Milestone 4]]</f>
        <v>0</v>
      </c>
      <c r="N19" s="60">
        <f>SUMIFS(ARF[Amount in Euro], ARF[Co Director],budgetFinal[director], ARF[Category], budgetFinal[Category], ARF[Date], "&gt;" &amp; cleanDateMilestone4,ARF[Date], "&lt;=" &amp; cleanDateFinal)</f>
        <v>0</v>
      </c>
      <c r="O19" s="60">
        <f>SUM(budgetFinal[[#This Row],[Milestone 1]:[Final]])</f>
        <v>0</v>
      </c>
      <c r="P19" s="60">
        <f>ROW()-ROW(budgetFinal[#Headers])</f>
        <v>2</v>
      </c>
      <c r="Q19" s="60">
        <f>IF(budgetFinal[row] &lt;= numCategories +3, budgetFinal[row]-1, MOD(budgetFinal[row]-1,numCategories+3) + IF(MOD(budgetFinal[row]-2,numCategories+2)&gt;numCategories+1, 1,0))</f>
        <v>1</v>
      </c>
      <c r="R19" s="60">
        <f>IFERROR(INDEX(directors[Last],MAX(1,FLOOR((budgetFinal[row]-1)/(numCategories+3)+1,1))),1)</f>
        <v>0</v>
      </c>
    </row>
    <row r="20" spans="1:18" ht="15" customHeight="1" x14ac:dyDescent="0.25">
      <c r="A20" s="105" t="str">
        <f ca="1"/>
        <v>Training</v>
      </c>
      <c r="B20" s="105">
        <f ca="1"/>
        <v>0</v>
      </c>
      <c r="C20" s="105">
        <f ca="1"/>
        <v>0</v>
      </c>
      <c r="D20" s="105">
        <f ca="1"/>
        <v>0</v>
      </c>
      <c r="E20" s="105">
        <f ca="1"/>
        <v>0</v>
      </c>
      <c r="F20" s="105">
        <f ca="1"/>
        <v>0</v>
      </c>
      <c r="G20" s="105">
        <f ca="1"/>
        <v>0</v>
      </c>
      <c r="H20" s="60"/>
      <c r="I20"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Training</v>
      </c>
      <c r="J20" s="60">
        <f>budgetMilestone1[[#This Row],[Milestone 1]]</f>
        <v>0</v>
      </c>
      <c r="K20" s="60">
        <f>budgetMilestone2[[#This Row],[Milestone 2]]</f>
        <v>0</v>
      </c>
      <c r="L20" s="60">
        <f>budgetMilestone3[[#This Row],[Milestone 3]]</f>
        <v>0</v>
      </c>
      <c r="M20" s="60">
        <f>budgetMilestone4[[#This Row],[Milestone 4]]</f>
        <v>0</v>
      </c>
      <c r="N20" s="60">
        <f>SUMIFS(ARF[Amount in Euro], ARF[Co Director],budgetFinal[director], ARF[Category], budgetFinal[Category], ARF[Date], "&gt;" &amp; cleanDateMilestone4,ARF[Date], "&lt;=" &amp; cleanDateFinal)</f>
        <v>0</v>
      </c>
      <c r="O20" s="60">
        <f>SUM(budgetFinal[[#This Row],[Milestone 1]:[Final]])</f>
        <v>0</v>
      </c>
      <c r="P20" s="60">
        <f>ROW()-ROW(budgetFinal[#Headers])</f>
        <v>3</v>
      </c>
      <c r="Q20" s="60">
        <f>IF(budgetFinal[row] &lt;= numCategories +3, budgetFinal[row]-1, MOD(budgetFinal[row]-1,numCategories+3) + IF(MOD(budgetFinal[row]-2,numCategories+2)&gt;numCategories+1, 1,0))</f>
        <v>2</v>
      </c>
      <c r="R20" s="60">
        <f>IFERROR(INDEX(directors[Last],MAX(1,FLOOR((budgetFinal[row]-1)/(numCategories+3)+1,1))),1)</f>
        <v>0</v>
      </c>
    </row>
    <row r="21" spans="1:18" ht="15" customHeight="1" x14ac:dyDescent="0.25">
      <c r="A21" s="105" t="str">
        <f ca="1"/>
        <v>Communication &amp; Publication</v>
      </c>
      <c r="B21" s="105">
        <f ca="1"/>
        <v>0</v>
      </c>
      <c r="C21" s="105">
        <f ca="1"/>
        <v>0</v>
      </c>
      <c r="D21" s="105">
        <f ca="1"/>
        <v>0</v>
      </c>
      <c r="E21" s="105">
        <f ca="1"/>
        <v>0</v>
      </c>
      <c r="F21" s="105">
        <f ca="1"/>
        <v>0</v>
      </c>
      <c r="G21" s="105">
        <f ca="1"/>
        <v>0</v>
      </c>
      <c r="H21" s="60"/>
      <c r="I21"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Communication &amp; Publication</v>
      </c>
      <c r="J21" s="60">
        <f>budgetMilestone1[[#This Row],[Milestone 1]]</f>
        <v>0</v>
      </c>
      <c r="K21" s="60">
        <f>budgetMilestone2[[#This Row],[Milestone 2]]</f>
        <v>0</v>
      </c>
      <c r="L21" s="60">
        <f>budgetMilestone3[[#This Row],[Milestone 3]]</f>
        <v>0</v>
      </c>
      <c r="M21" s="60">
        <f>budgetMilestone4[[#This Row],[Milestone 4]]</f>
        <v>0</v>
      </c>
      <c r="N21" s="60">
        <f>SUMIFS(ARF[Amount in Euro], ARF[Co Director],budgetFinal[director], ARF[Category], budgetFinal[Category], ARF[Date], "&gt;" &amp; cleanDateMilestone4,ARF[Date], "&lt;=" &amp; cleanDateFinal)</f>
        <v>0</v>
      </c>
      <c r="O21" s="60">
        <f>SUM(budgetFinal[[#This Row],[Milestone 1]:[Final]])</f>
        <v>0</v>
      </c>
      <c r="P21" s="60">
        <f>ROW()-ROW(budgetFinal[#Headers])</f>
        <v>4</v>
      </c>
      <c r="Q21" s="60">
        <f>IF(budgetFinal[row] &lt;= numCategories +3, budgetFinal[row]-1, MOD(budgetFinal[row]-1,numCategories+3) + IF(MOD(budgetFinal[row]-2,numCategories+2)&gt;numCategories+1, 1,0))</f>
        <v>3</v>
      </c>
      <c r="R21" s="60">
        <f>IFERROR(INDEX(directors[Last],MAX(1,FLOOR((budgetFinal[row]-1)/(numCategories+3)+1,1))),1)</f>
        <v>0</v>
      </c>
    </row>
    <row r="22" spans="1:18" ht="15" customHeight="1" x14ac:dyDescent="0.25">
      <c r="A22" s="105" t="str">
        <f ca="1"/>
        <v>Travel</v>
      </c>
      <c r="B22" s="105">
        <f ca="1"/>
        <v>0</v>
      </c>
      <c r="C22" s="105">
        <f ca="1"/>
        <v>0</v>
      </c>
      <c r="D22" s="105">
        <f ca="1"/>
        <v>0</v>
      </c>
      <c r="E22" s="105">
        <f ca="1"/>
        <v>0</v>
      </c>
      <c r="F22" s="105">
        <f ca="1"/>
        <v>0</v>
      </c>
      <c r="G22" s="105">
        <f ca="1"/>
        <v>0</v>
      </c>
      <c r="H22" s="60"/>
      <c r="I22"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Travel</v>
      </c>
      <c r="J22" s="60">
        <f>budgetMilestone1[[#This Row],[Milestone 1]]</f>
        <v>0</v>
      </c>
      <c r="K22" s="60">
        <f>budgetMilestone2[[#This Row],[Milestone 2]]</f>
        <v>0</v>
      </c>
      <c r="L22" s="60">
        <f>budgetMilestone3[[#This Row],[Milestone 3]]</f>
        <v>0</v>
      </c>
      <c r="M22" s="60">
        <f>budgetMilestone4[[#This Row],[Milestone 4]]</f>
        <v>0</v>
      </c>
      <c r="N22" s="60">
        <f>SUMIFS(ARF[Amount in Euro], ARF[Co Director],budgetFinal[director], ARF[Category], budgetFinal[Category], ARF[Date], "&gt;" &amp; cleanDateMilestone4,ARF[Date], "&lt;=" &amp; cleanDateFinal)</f>
        <v>0</v>
      </c>
      <c r="O22" s="60">
        <f>SUM(budgetFinal[[#This Row],[Milestone 1]:[Final]])</f>
        <v>0</v>
      </c>
      <c r="P22" s="60">
        <f>ROW()-ROW(budgetFinal[#Headers])</f>
        <v>5</v>
      </c>
      <c r="Q22" s="60">
        <f>IF(budgetFinal[row] &lt;= numCategories +3, budgetFinal[row]-1, MOD(budgetFinal[row]-1,numCategories+3) + IF(MOD(budgetFinal[row]-2,numCategories+2)&gt;numCategories+1, 1,0))</f>
        <v>4</v>
      </c>
      <c r="R22" s="60">
        <f>IFERROR(INDEX(directors[Last],MAX(1,FLOOR((budgetFinal[row]-1)/(numCategories+3)+1,1))),1)</f>
        <v>0</v>
      </c>
    </row>
    <row r="23" spans="1:18" ht="15" customHeight="1" x14ac:dyDescent="0.25">
      <c r="A23" s="105" t="str">
        <f ca="1"/>
        <v>Consumables</v>
      </c>
      <c r="B23" s="105">
        <f ca="1"/>
        <v>0</v>
      </c>
      <c r="C23" s="105">
        <f ca="1"/>
        <v>0</v>
      </c>
      <c r="D23" s="105">
        <f ca="1"/>
        <v>0</v>
      </c>
      <c r="E23" s="105">
        <f ca="1"/>
        <v>0</v>
      </c>
      <c r="F23" s="105">
        <f ca="1"/>
        <v>0</v>
      </c>
      <c r="G23" s="105">
        <f ca="1"/>
        <v>0</v>
      </c>
      <c r="H23" s="60"/>
      <c r="I23"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Consumables</v>
      </c>
      <c r="J23" s="60">
        <f>budgetMilestone1[[#This Row],[Milestone 1]]</f>
        <v>0</v>
      </c>
      <c r="K23" s="60">
        <f>budgetMilestone2[[#This Row],[Milestone 2]]</f>
        <v>0</v>
      </c>
      <c r="L23" s="60">
        <f>budgetMilestone3[[#This Row],[Milestone 3]]</f>
        <v>0</v>
      </c>
      <c r="M23" s="60">
        <f>budgetMilestone4[[#This Row],[Milestone 4]]</f>
        <v>0</v>
      </c>
      <c r="N23" s="60">
        <f>SUMIFS(ARF[Amount in Euro], ARF[Co Director],budgetFinal[director], ARF[Category], budgetFinal[Category], ARF[Date], "&gt;" &amp; cleanDateMilestone4,ARF[Date], "&lt;=" &amp; cleanDateFinal)</f>
        <v>0</v>
      </c>
      <c r="O23" s="60">
        <f>SUM(budgetFinal[[#This Row],[Milestone 1]:[Final]])</f>
        <v>0</v>
      </c>
      <c r="P23" s="60">
        <f>ROW()-ROW(budgetFinal[#Headers])</f>
        <v>6</v>
      </c>
      <c r="Q23" s="60">
        <f>IF(budgetFinal[row] &lt;= numCategories +3, budgetFinal[row]-1, MOD(budgetFinal[row]-1,numCategories+3) + IF(MOD(budgetFinal[row]-2,numCategories+2)&gt;numCategories+1, 1,0))</f>
        <v>5</v>
      </c>
      <c r="R23" s="60">
        <f>IFERROR(INDEX(directors[Last],MAX(1,FLOOR((budgetFinal[row]-1)/(numCategories+3)+1,1))),1)</f>
        <v>0</v>
      </c>
    </row>
    <row r="24" spans="1:18" ht="15" customHeight="1" x14ac:dyDescent="0.25">
      <c r="A24" s="105" t="str">
        <f ca="1"/>
        <v>Other</v>
      </c>
      <c r="B24" s="105">
        <f ca="1"/>
        <v>0</v>
      </c>
      <c r="C24" s="105">
        <f ca="1"/>
        <v>0</v>
      </c>
      <c r="D24" s="105">
        <f ca="1"/>
        <v>0</v>
      </c>
      <c r="E24" s="105">
        <f ca="1"/>
        <v>0</v>
      </c>
      <c r="F24" s="105">
        <f ca="1"/>
        <v>0</v>
      </c>
      <c r="G24" s="105">
        <f ca="1"/>
        <v>0</v>
      </c>
      <c r="H24" s="60"/>
      <c r="I24"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Other</v>
      </c>
      <c r="J24" s="60">
        <f>budgetMilestone1[[#This Row],[Milestone 1]]</f>
        <v>0</v>
      </c>
      <c r="K24" s="60">
        <f>budgetMilestone2[[#This Row],[Milestone 2]]</f>
        <v>0</v>
      </c>
      <c r="L24" s="60">
        <f>budgetMilestone3[[#This Row],[Milestone 3]]</f>
        <v>0</v>
      </c>
      <c r="M24" s="60">
        <f>budgetMilestone4[[#This Row],[Milestone 4]]</f>
        <v>0</v>
      </c>
      <c r="N24" s="60">
        <f>SUMIFS(ARF[Amount in Euro], ARF[Co Director],budgetFinal[director], ARF[Category], budgetFinal[Category], ARF[Date], "&gt;" &amp; cleanDateMilestone4,ARF[Date], "&lt;=" &amp; cleanDateFinal)</f>
        <v>0</v>
      </c>
      <c r="O24" s="60">
        <f>SUM(budgetFinal[[#This Row],[Milestone 1]:[Final]])</f>
        <v>0</v>
      </c>
      <c r="P24" s="60">
        <f>ROW()-ROW(budgetFinal[#Headers])</f>
        <v>7</v>
      </c>
      <c r="Q24" s="60">
        <f>IF(budgetFinal[row] &lt;= numCategories +3, budgetFinal[row]-1, MOD(budgetFinal[row]-1,numCategories+3) + IF(MOD(budgetFinal[row]-2,numCategories+2)&gt;numCategories+1, 1,0))</f>
        <v>6</v>
      </c>
      <c r="R24" s="60">
        <f>IFERROR(INDEX(directors[Last],MAX(1,FLOOR((budgetFinal[row]-1)/(numCategories+3)+1,1))),1)</f>
        <v>0</v>
      </c>
    </row>
    <row r="25" spans="1:18" ht="15" customHeight="1" x14ac:dyDescent="0.25">
      <c r="A25" s="105" t="str">
        <f ca="1"/>
        <v>Stipends</v>
      </c>
      <c r="B25" s="105">
        <f ca="1"/>
        <v>0</v>
      </c>
      <c r="C25" s="105">
        <f ca="1"/>
        <v>0</v>
      </c>
      <c r="D25" s="105">
        <f ca="1"/>
        <v>0</v>
      </c>
      <c r="E25" s="105">
        <f ca="1"/>
        <v>0</v>
      </c>
      <c r="F25" s="105">
        <f ca="1"/>
        <v>0</v>
      </c>
      <c r="G25" s="105">
        <f ca="1"/>
        <v>0</v>
      </c>
      <c r="H25" s="60"/>
      <c r="I25"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Stipends</v>
      </c>
      <c r="J25" s="60">
        <f>budgetMilestone1[[#This Row],[Milestone 1]]</f>
        <v>0</v>
      </c>
      <c r="K25" s="60">
        <f>budgetMilestone2[[#This Row],[Milestone 2]]</f>
        <v>0</v>
      </c>
      <c r="L25" s="60">
        <f>budgetMilestone3[[#This Row],[Milestone 3]]</f>
        <v>0</v>
      </c>
      <c r="M25" s="60">
        <f>budgetMilestone4[[#This Row],[Milestone 4]]</f>
        <v>0</v>
      </c>
      <c r="N25" s="60">
        <f>SUMIFS(ARF[Amount in Euro], ARF[Co Director],budgetFinal[director], ARF[Category], budgetFinal[Category], ARF[Date], "&gt;" &amp; cleanDateMilestone4,ARF[Date], "&lt;=" &amp; cleanDateFinal)</f>
        <v>0</v>
      </c>
      <c r="O25" s="60">
        <f>SUM(budgetFinal[[#This Row],[Milestone 1]:[Final]])</f>
        <v>0</v>
      </c>
      <c r="P25" s="60">
        <f>ROW()-ROW(budgetFinal[#Headers])</f>
        <v>8</v>
      </c>
      <c r="Q25" s="60">
        <f>IF(budgetFinal[row] &lt;= numCategories +3, budgetFinal[row]-1, MOD(budgetFinal[row]-1,numCategories+3) + IF(MOD(budgetFinal[row]-2,numCategories+2)&gt;numCategories+1, 1,0))</f>
        <v>7</v>
      </c>
      <c r="R25" s="60">
        <f>IFERROR(INDEX(directors[Last],MAX(1,FLOOR((budgetFinal[row]-1)/(numCategories+3)+1,1))),1)</f>
        <v>0</v>
      </c>
    </row>
    <row r="26" spans="1:18" ht="15" customHeight="1" x14ac:dyDescent="0.25">
      <c r="A26" s="105" t="str">
        <f ca="1"/>
        <v>Co-financing of personnel</v>
      </c>
      <c r="B26" s="105">
        <f ca="1"/>
        <v>0</v>
      </c>
      <c r="C26" s="105">
        <f ca="1"/>
        <v>0</v>
      </c>
      <c r="D26" s="105">
        <f ca="1"/>
        <v>0</v>
      </c>
      <c r="E26" s="105">
        <f ca="1"/>
        <v>0</v>
      </c>
      <c r="F26" s="105">
        <f ca="1"/>
        <v>0</v>
      </c>
      <c r="G26" s="105">
        <f ca="1"/>
        <v>0</v>
      </c>
      <c r="H26" s="60"/>
      <c r="I26"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Co-financing of personnel</v>
      </c>
      <c r="J26" s="60">
        <f>budgetMilestone1[[#This Row],[Milestone 1]]</f>
        <v>0</v>
      </c>
      <c r="K26" s="60">
        <f>budgetMilestone2[[#This Row],[Milestone 2]]</f>
        <v>0</v>
      </c>
      <c r="L26" s="60">
        <f>budgetMilestone3[[#This Row],[Milestone 3]]</f>
        <v>0</v>
      </c>
      <c r="M26" s="60">
        <f>budgetMilestone4[[#This Row],[Milestone 4]]</f>
        <v>0</v>
      </c>
      <c r="N26" s="60">
        <f>SUMIFS(ARF[Amount in Euro], ARF[Co Director],budgetFinal[director], ARF[Category], budgetFinal[Category], ARF[Date], "&gt;" &amp; cleanDateMilestone4,ARF[Date], "&lt;=" &amp; cleanDateFinal)</f>
        <v>0</v>
      </c>
      <c r="O26" s="60">
        <f>SUM(budgetFinal[[#This Row],[Milestone 1]:[Final]])</f>
        <v>0</v>
      </c>
      <c r="P26" s="60">
        <f>ROW()-ROW(budgetFinal[#Headers])</f>
        <v>9</v>
      </c>
      <c r="Q26" s="60">
        <f>IF(budgetFinal[row] &lt;= numCategories +3, budgetFinal[row]-1, MOD(budgetFinal[row]-1,numCategories+3) + IF(MOD(budgetFinal[row]-2,numCategories+2)&gt;numCategories+1, 1,0))</f>
        <v>8</v>
      </c>
      <c r="R26" s="60">
        <f>IFERROR(INDEX(directors[Last],MAX(1,FLOOR((budgetFinal[row]-1)/(numCategories+3)+1,1))),1)</f>
        <v>0</v>
      </c>
    </row>
    <row r="27" spans="1:18" ht="15" customHeight="1" x14ac:dyDescent="0.25">
      <c r="A27" s="105" t="str">
        <f ca="1"/>
        <v>Subtotal 0</v>
      </c>
      <c r="B27" s="105">
        <f ca="1"/>
        <v>0</v>
      </c>
      <c r="C27" s="105">
        <f ca="1"/>
        <v>0</v>
      </c>
      <c r="D27" s="105">
        <f ca="1"/>
        <v>0</v>
      </c>
      <c r="E27" s="105">
        <f ca="1"/>
        <v>0</v>
      </c>
      <c r="F27" s="105">
        <f ca="1"/>
        <v>0</v>
      </c>
      <c r="G27" s="105">
        <f ca="1"/>
        <v>0</v>
      </c>
      <c r="H27" s="60"/>
      <c r="I27"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Subtotal 0</v>
      </c>
      <c r="J27" s="60">
        <f>budgetMilestone1[[#This Row],[Milestone 1]]</f>
        <v>0</v>
      </c>
      <c r="K27" s="60">
        <f>budgetMilestone2[[#This Row],[Milestone 2]]</f>
        <v>0</v>
      </c>
      <c r="L27" s="60">
        <f>budgetMilestone3[[#This Row],[Milestone 3]]</f>
        <v>0</v>
      </c>
      <c r="M27" s="60">
        <f>budgetMilestone4[[#This Row],[Milestone 4]]</f>
        <v>0</v>
      </c>
      <c r="N27" s="60">
        <f t="shared" ref="N27:O27" si="0">SUBTOTAL(9,N19:N26)</f>
        <v>0</v>
      </c>
      <c r="O27" s="60">
        <f t="shared" si="0"/>
        <v>0</v>
      </c>
      <c r="P27" s="60">
        <f>ROW()-ROW(budgetFinal[#Headers])</f>
        <v>10</v>
      </c>
      <c r="Q27" s="60">
        <f>IF(budgetFinal[row] &lt;= numCategories +3, budgetFinal[row]-1, MOD(budgetFinal[row]-1,numCategories+3) + IF(MOD(budgetFinal[row]-2,numCategories+2)&gt;numCategories+1, 1,0))</f>
        <v>9</v>
      </c>
      <c r="R27" s="60">
        <f>IFERROR(INDEX(directors[Last],MAX(1,FLOOR((budgetFinal[row]-1)/(numCategories+3)+1,1))),1)</f>
        <v>0</v>
      </c>
    </row>
    <row r="28" spans="1:18" ht="15" customHeight="1" x14ac:dyDescent="0.25">
      <c r="A28" s="105" t="str">
        <f ca="1"/>
        <v/>
      </c>
      <c r="B28" s="105">
        <f ca="1"/>
        <v>0</v>
      </c>
      <c r="C28" s="105">
        <f ca="1"/>
        <v>0</v>
      </c>
      <c r="D28" s="105">
        <f ca="1"/>
        <v>0</v>
      </c>
      <c r="E28" s="105">
        <f ca="1"/>
        <v>0</v>
      </c>
      <c r="F28" s="105">
        <f ca="1"/>
        <v>0</v>
      </c>
      <c r="G28" s="105">
        <f ca="1"/>
        <v>0</v>
      </c>
      <c r="H28" s="60"/>
      <c r="I28"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c>
      <c r="J28" s="60">
        <f>budgetMilestone1[[#This Row],[Milestone 1]]</f>
        <v>0</v>
      </c>
      <c r="K28" s="60">
        <f>budgetMilestone2[[#This Row],[Milestone 2]]</f>
        <v>0</v>
      </c>
      <c r="L28" s="60">
        <f>budgetMilestone3[[#This Row],[Milestone 3]]</f>
        <v>0</v>
      </c>
      <c r="M28" s="60">
        <f>budgetMilestone4[[#This Row],[Milestone 4]]</f>
        <v>0</v>
      </c>
      <c r="N28" s="60"/>
      <c r="O28" s="60"/>
      <c r="P28" s="60">
        <f>ROW()-ROW(budgetFinal[#Headers])</f>
        <v>11</v>
      </c>
      <c r="Q28" s="60">
        <f>IF(budgetFinal[row] &lt;= numCategories +3, budgetFinal[row]-1, MOD(budgetFinal[row]-1,numCategories+3) + IF(MOD(budgetFinal[row]-2,numCategories+2)&gt;numCategories+1, 1,0))</f>
        <v>10</v>
      </c>
      <c r="R28" s="60">
        <f>IFERROR(INDEX(directors[Last],MAX(1,FLOOR((budgetFinal[row]-1)/(numCategories+3)+1,1))),1)</f>
        <v>0</v>
      </c>
    </row>
    <row r="29" spans="1:18" ht="15" customHeight="1" x14ac:dyDescent="0.25">
      <c r="A29" s="105" t="str">
        <f ca="1"/>
        <v xml:space="preserve">0 / </v>
      </c>
      <c r="B29" s="105">
        <f ca="1"/>
        <v>0</v>
      </c>
      <c r="C29" s="105">
        <f ca="1"/>
        <v>0</v>
      </c>
      <c r="D29" s="105">
        <f ca="1"/>
        <v>0</v>
      </c>
      <c r="E29" s="105">
        <f ca="1"/>
        <v>0</v>
      </c>
      <c r="F29" s="105">
        <f ca="1"/>
        <v>0</v>
      </c>
      <c r="G29" s="105">
        <f ca="1"/>
        <v>0</v>
      </c>
      <c r="H29" s="60"/>
      <c r="I29"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xml:space="preserve">0 / </v>
      </c>
      <c r="J29" s="60">
        <f>budgetMilestone1[[#This Row],[Milestone 1]]</f>
        <v>0</v>
      </c>
      <c r="K29" s="60">
        <f>budgetMilestone2[[#This Row],[Milestone 2]]</f>
        <v>0</v>
      </c>
      <c r="L29" s="60">
        <f>budgetMilestone3[[#This Row],[Milestone 3]]</f>
        <v>0</v>
      </c>
      <c r="M29" s="60">
        <f>budgetMilestone4[[#This Row],[Milestone 4]]</f>
        <v>0</v>
      </c>
      <c r="N29" s="60"/>
      <c r="O29" s="60"/>
      <c r="P29" s="60">
        <f>ROW()-ROW(budgetFinal[#Headers])</f>
        <v>12</v>
      </c>
      <c r="Q29" s="60">
        <f>IF(budgetFinal[row] &lt;= numCategories +3, budgetFinal[row]-1, MOD(budgetFinal[row]-1,numCategories+3) + IF(MOD(budgetFinal[row]-2,numCategories+2)&gt;numCategories+1, 1,0))</f>
        <v>0</v>
      </c>
      <c r="R29" s="60">
        <f>IFERROR(INDEX(directors[Last],MAX(1,FLOOR((budgetFinal[row]-1)/(numCategories+3)+1,1))),1)</f>
        <v>0</v>
      </c>
    </row>
    <row r="30" spans="1:18" ht="15" customHeight="1" x14ac:dyDescent="0.25">
      <c r="A30" s="105" t="str">
        <f ca="1"/>
        <v>Equipment</v>
      </c>
      <c r="B30" s="105">
        <f ca="1"/>
        <v>0</v>
      </c>
      <c r="C30" s="105">
        <f ca="1"/>
        <v>0</v>
      </c>
      <c r="D30" s="105">
        <f ca="1"/>
        <v>0</v>
      </c>
      <c r="E30" s="105">
        <f ca="1"/>
        <v>0</v>
      </c>
      <c r="F30" s="105">
        <f ca="1"/>
        <v>0</v>
      </c>
      <c r="G30" s="105">
        <f ca="1"/>
        <v>0</v>
      </c>
      <c r="H30" s="60"/>
      <c r="I30" s="105"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Equipment</v>
      </c>
      <c r="J30" s="105">
        <f>budgetMilestone1[[#This Row],[Milestone 1]]</f>
        <v>0</v>
      </c>
      <c r="K30" s="105">
        <f>budgetMilestone2[[#This Row],[Milestone 2]]</f>
        <v>0</v>
      </c>
      <c r="L30" s="105">
        <f>budgetMilestone3[[#This Row],[Milestone 3]]</f>
        <v>0</v>
      </c>
      <c r="M30" s="105">
        <f>budgetMilestone4[[#This Row],[Milestone 4]]</f>
        <v>0</v>
      </c>
      <c r="N30" s="105">
        <f>SUMIFS(ARF[Amount in Euro], ARF[Co Director],budgetFinal[director], ARF[Category], budgetFinal[Category], ARF[Date], "&gt;" &amp; cleanDateMilestone4,ARF[Date], "&lt;=" &amp; cleanDateFinal)</f>
        <v>0</v>
      </c>
      <c r="O30" s="105">
        <f>SUM(budgetFinal[[#This Row],[Milestone 1]:[Final]])</f>
        <v>0</v>
      </c>
      <c r="P30" s="60">
        <f>ROW()-ROW(budgetFinal[#Headers])</f>
        <v>13</v>
      </c>
      <c r="Q30" s="60">
        <f>IF(budgetFinal[row] &lt;= numCategories +3, budgetFinal[row]-1, MOD(budgetFinal[row]-1,numCategories+3) + IF(MOD(budgetFinal[row]-2,numCategories+2)&gt;numCategories+1, 1,0))</f>
        <v>1</v>
      </c>
      <c r="R30" s="60">
        <f>IFERROR(INDEX(directors[Last],MAX(1,FLOOR((budgetFinal[row]-1)/(numCategories+3)+1,1))),1)</f>
        <v>0</v>
      </c>
    </row>
    <row r="31" spans="1:18" ht="15" customHeight="1" x14ac:dyDescent="0.25">
      <c r="A31" s="105" t="str">
        <f ca="1"/>
        <v>Training</v>
      </c>
      <c r="B31" s="105">
        <f ca="1"/>
        <v>0</v>
      </c>
      <c r="C31" s="105">
        <f ca="1"/>
        <v>0</v>
      </c>
      <c r="D31" s="105">
        <f ca="1"/>
        <v>0</v>
      </c>
      <c r="E31" s="105">
        <f ca="1"/>
        <v>0</v>
      </c>
      <c r="F31" s="105">
        <f ca="1"/>
        <v>0</v>
      </c>
      <c r="G31" s="105">
        <f ca="1"/>
        <v>0</v>
      </c>
      <c r="H31" s="60"/>
      <c r="I31" s="105"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Training</v>
      </c>
      <c r="J31" s="105">
        <f>budgetMilestone1[[#This Row],[Milestone 1]]</f>
        <v>0</v>
      </c>
      <c r="K31" s="105">
        <f>budgetMilestone2[[#This Row],[Milestone 2]]</f>
        <v>0</v>
      </c>
      <c r="L31" s="105">
        <f>budgetMilestone3[[#This Row],[Milestone 3]]</f>
        <v>0</v>
      </c>
      <c r="M31" s="105">
        <f>budgetMilestone4[[#This Row],[Milestone 4]]</f>
        <v>0</v>
      </c>
      <c r="N31" s="105">
        <f>SUMIFS(ARF[Amount in Euro], ARF[Co Director],budgetFinal[director], ARF[Category], budgetFinal[Category], ARF[Date], "&gt;" &amp; cleanDateMilestone4,ARF[Date], "&lt;=" &amp; cleanDateFinal)</f>
        <v>0</v>
      </c>
      <c r="O31" s="105">
        <f>SUM(budgetFinal[[#This Row],[Milestone 1]:[Final]])</f>
        <v>0</v>
      </c>
      <c r="P31" s="60">
        <f>ROW()-ROW(budgetFinal[#Headers])</f>
        <v>14</v>
      </c>
      <c r="Q31" s="60">
        <f>IF(budgetFinal[row] &lt;= numCategories +3, budgetFinal[row]-1, MOD(budgetFinal[row]-1,numCategories+3) + IF(MOD(budgetFinal[row]-2,numCategories+2)&gt;numCategories+1, 1,0))</f>
        <v>2</v>
      </c>
      <c r="R31" s="60">
        <f>IFERROR(INDEX(directors[Last],MAX(1,FLOOR((budgetFinal[row]-1)/(numCategories+3)+1,1))),1)</f>
        <v>0</v>
      </c>
    </row>
    <row r="32" spans="1:18" ht="15" customHeight="1" x14ac:dyDescent="0.25">
      <c r="A32" s="105" t="str">
        <f ca="1"/>
        <v>Communication &amp; Publication</v>
      </c>
      <c r="B32" s="105">
        <f ca="1"/>
        <v>0</v>
      </c>
      <c r="C32" s="105">
        <f ca="1"/>
        <v>0</v>
      </c>
      <c r="D32" s="105">
        <f ca="1"/>
        <v>0</v>
      </c>
      <c r="E32" s="105">
        <f ca="1"/>
        <v>0</v>
      </c>
      <c r="F32" s="105">
        <f ca="1"/>
        <v>0</v>
      </c>
      <c r="G32" s="105">
        <f ca="1"/>
        <v>0</v>
      </c>
      <c r="H32" s="60"/>
      <c r="I32" s="105"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Communication &amp; Publication</v>
      </c>
      <c r="J32" s="105">
        <f>budgetMilestone1[[#This Row],[Milestone 1]]</f>
        <v>0</v>
      </c>
      <c r="K32" s="105">
        <f>budgetMilestone2[[#This Row],[Milestone 2]]</f>
        <v>0</v>
      </c>
      <c r="L32" s="105">
        <f>budgetMilestone3[[#This Row],[Milestone 3]]</f>
        <v>0</v>
      </c>
      <c r="M32" s="105">
        <f>budgetMilestone4[[#This Row],[Milestone 4]]</f>
        <v>0</v>
      </c>
      <c r="N32" s="105">
        <f>SUMIFS(ARF[Amount in Euro], ARF[Co Director],budgetFinal[director], ARF[Category], budgetFinal[Category], ARF[Date], "&gt;" &amp; cleanDateMilestone4,ARF[Date], "&lt;=" &amp; cleanDateFinal)</f>
        <v>0</v>
      </c>
      <c r="O32" s="105">
        <f>SUM(budgetFinal[[#This Row],[Milestone 1]:[Final]])</f>
        <v>0</v>
      </c>
      <c r="P32" s="60">
        <f>ROW()-ROW(budgetFinal[#Headers])</f>
        <v>15</v>
      </c>
      <c r="Q32" s="60">
        <f>IF(budgetFinal[row] &lt;= numCategories +3, budgetFinal[row]-1, MOD(budgetFinal[row]-1,numCategories+3) + IF(MOD(budgetFinal[row]-2,numCategories+2)&gt;numCategories+1, 1,0))</f>
        <v>3</v>
      </c>
      <c r="R32" s="60">
        <f>IFERROR(INDEX(directors[Last],MAX(1,FLOOR((budgetFinal[row]-1)/(numCategories+3)+1,1))),1)</f>
        <v>0</v>
      </c>
    </row>
    <row r="33" spans="1:18" ht="15" customHeight="1" x14ac:dyDescent="0.25">
      <c r="A33" s="105" t="str">
        <f ca="1"/>
        <v>Travel</v>
      </c>
      <c r="B33" s="105">
        <f ca="1"/>
        <v>0</v>
      </c>
      <c r="C33" s="105">
        <f ca="1"/>
        <v>0</v>
      </c>
      <c r="D33" s="105">
        <f ca="1"/>
        <v>0</v>
      </c>
      <c r="E33" s="105">
        <f ca="1"/>
        <v>0</v>
      </c>
      <c r="F33" s="105">
        <f ca="1"/>
        <v>0</v>
      </c>
      <c r="G33" s="105">
        <f ca="1"/>
        <v>0</v>
      </c>
      <c r="H33" s="60"/>
      <c r="I33" s="105"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Travel</v>
      </c>
      <c r="J33" s="105">
        <f>budgetMilestone1[[#This Row],[Milestone 1]]</f>
        <v>0</v>
      </c>
      <c r="K33" s="105">
        <f>budgetMilestone2[[#This Row],[Milestone 2]]</f>
        <v>0</v>
      </c>
      <c r="L33" s="105">
        <f>budgetMilestone3[[#This Row],[Milestone 3]]</f>
        <v>0</v>
      </c>
      <c r="M33" s="105">
        <f>budgetMilestone4[[#This Row],[Milestone 4]]</f>
        <v>0</v>
      </c>
      <c r="N33" s="105">
        <f>SUMIFS(ARF[Amount in Euro], ARF[Co Director],budgetFinal[director], ARF[Category], budgetFinal[Category], ARF[Date], "&gt;" &amp; cleanDateMilestone4,ARF[Date], "&lt;=" &amp; cleanDateFinal)</f>
        <v>0</v>
      </c>
      <c r="O33" s="105">
        <f>SUM(budgetFinal[[#This Row],[Milestone 1]:[Final]])</f>
        <v>0</v>
      </c>
      <c r="P33" s="60">
        <f>ROW()-ROW(budgetFinal[#Headers])</f>
        <v>16</v>
      </c>
      <c r="Q33" s="60">
        <f>IF(budgetFinal[row] &lt;= numCategories +3, budgetFinal[row]-1, MOD(budgetFinal[row]-1,numCategories+3) + IF(MOD(budgetFinal[row]-2,numCategories+2)&gt;numCategories+1, 1,0))</f>
        <v>4</v>
      </c>
      <c r="R33" s="60">
        <f>IFERROR(INDEX(directors[Last],MAX(1,FLOOR((budgetFinal[row]-1)/(numCategories+3)+1,1))),1)</f>
        <v>0</v>
      </c>
    </row>
    <row r="34" spans="1:18" ht="15" customHeight="1" x14ac:dyDescent="0.25">
      <c r="A34" s="105" t="str">
        <f ca="1"/>
        <v>Consumables</v>
      </c>
      <c r="B34" s="105">
        <f ca="1"/>
        <v>0</v>
      </c>
      <c r="C34" s="105">
        <f ca="1"/>
        <v>0</v>
      </c>
      <c r="D34" s="105">
        <f ca="1"/>
        <v>0</v>
      </c>
      <c r="E34" s="105">
        <f ca="1"/>
        <v>0</v>
      </c>
      <c r="F34" s="105">
        <f ca="1"/>
        <v>0</v>
      </c>
      <c r="G34" s="105">
        <f ca="1"/>
        <v>0</v>
      </c>
      <c r="H34" s="60"/>
      <c r="I34" s="105"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Consumables</v>
      </c>
      <c r="J34" s="105">
        <f>budgetMilestone1[[#This Row],[Milestone 1]]</f>
        <v>0</v>
      </c>
      <c r="K34" s="105">
        <f>budgetMilestone2[[#This Row],[Milestone 2]]</f>
        <v>0</v>
      </c>
      <c r="L34" s="105">
        <f>budgetMilestone3[[#This Row],[Milestone 3]]</f>
        <v>0</v>
      </c>
      <c r="M34" s="105">
        <f>budgetMilestone4[[#This Row],[Milestone 4]]</f>
        <v>0</v>
      </c>
      <c r="N34" s="105">
        <f>SUMIFS(ARF[Amount in Euro], ARF[Co Director],budgetFinal[director], ARF[Category], budgetFinal[Category], ARF[Date], "&gt;" &amp; cleanDateMilestone4,ARF[Date], "&lt;=" &amp; cleanDateFinal)</f>
        <v>0</v>
      </c>
      <c r="O34" s="105">
        <f>SUM(budgetFinal[[#This Row],[Milestone 1]:[Final]])</f>
        <v>0</v>
      </c>
      <c r="P34" s="60">
        <f>ROW()-ROW(budgetFinal[#Headers])</f>
        <v>17</v>
      </c>
      <c r="Q34" s="60">
        <f>IF(budgetFinal[row] &lt;= numCategories +3, budgetFinal[row]-1, MOD(budgetFinal[row]-1,numCategories+3) + IF(MOD(budgetFinal[row]-2,numCategories+2)&gt;numCategories+1, 1,0))</f>
        <v>5</v>
      </c>
      <c r="R34" s="60">
        <f>IFERROR(INDEX(directors[Last],MAX(1,FLOOR((budgetFinal[row]-1)/(numCategories+3)+1,1))),1)</f>
        <v>0</v>
      </c>
    </row>
    <row r="35" spans="1:18" ht="15" customHeight="1" x14ac:dyDescent="0.25">
      <c r="A35" s="105" t="str">
        <f ca="1"/>
        <v>Other</v>
      </c>
      <c r="B35" s="105">
        <f ca="1"/>
        <v>0</v>
      </c>
      <c r="C35" s="105">
        <f ca="1"/>
        <v>0</v>
      </c>
      <c r="D35" s="105">
        <f ca="1"/>
        <v>0</v>
      </c>
      <c r="E35" s="105">
        <f ca="1"/>
        <v>0</v>
      </c>
      <c r="F35" s="105">
        <f ca="1"/>
        <v>0</v>
      </c>
      <c r="G35" s="105">
        <f ca="1"/>
        <v>0</v>
      </c>
      <c r="H35" s="60"/>
      <c r="I35"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Other</v>
      </c>
      <c r="J35" s="60">
        <f>budgetMilestone1[[#This Row],[Milestone 1]]</f>
        <v>0</v>
      </c>
      <c r="K35" s="60">
        <f>budgetMilestone2[[#This Row],[Milestone 2]]</f>
        <v>0</v>
      </c>
      <c r="L35" s="60">
        <f>budgetMilestone3[[#This Row],[Milestone 3]]</f>
        <v>0</v>
      </c>
      <c r="M35" s="60">
        <f>budgetMilestone4[[#This Row],[Milestone 4]]</f>
        <v>0</v>
      </c>
      <c r="N35" s="60">
        <f>SUMIFS(ARF[Amount in Euro], ARF[Co Director],budgetFinal[director], ARF[Category], budgetFinal[Category], ARF[Date], "&gt;" &amp; cleanDateMilestone4,ARF[Date], "&lt;=" &amp; cleanDateFinal)</f>
        <v>0</v>
      </c>
      <c r="O35" s="60">
        <f>SUM(budgetFinal[[#This Row],[Milestone 1]:[Final]])</f>
        <v>0</v>
      </c>
      <c r="P35" s="60">
        <f>ROW()-ROW(budgetFinal[#Headers])</f>
        <v>18</v>
      </c>
      <c r="Q35" s="60">
        <f>IF(budgetFinal[row] &lt;= numCategories +3, budgetFinal[row]-1, MOD(budgetFinal[row]-1,numCategories+3) + IF(MOD(budgetFinal[row]-2,numCategories+2)&gt;numCategories+1, 1,0))</f>
        <v>6</v>
      </c>
      <c r="R35" s="60">
        <f>IFERROR(INDEX(directors[Last],MAX(1,FLOOR((budgetFinal[row]-1)/(numCategories+3)+1,1))),1)</f>
        <v>0</v>
      </c>
    </row>
    <row r="36" spans="1:18" ht="15" customHeight="1" x14ac:dyDescent="0.25">
      <c r="A36" s="105" t="str">
        <f ca="1"/>
        <v>Stipends</v>
      </c>
      <c r="B36" s="105">
        <f ca="1"/>
        <v>0</v>
      </c>
      <c r="C36" s="105">
        <f ca="1"/>
        <v>0</v>
      </c>
      <c r="D36" s="105">
        <f ca="1"/>
        <v>0</v>
      </c>
      <c r="E36" s="105">
        <f ca="1"/>
        <v>0</v>
      </c>
      <c r="F36" s="105">
        <f ca="1"/>
        <v>0</v>
      </c>
      <c r="G36" s="105">
        <f ca="1"/>
        <v>0</v>
      </c>
      <c r="H36" s="60"/>
      <c r="I36" s="105"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Stipends</v>
      </c>
      <c r="J36" s="105">
        <f>budgetMilestone1[[#This Row],[Milestone 1]]</f>
        <v>0</v>
      </c>
      <c r="K36" s="105">
        <f>budgetMilestone2[[#This Row],[Milestone 2]]</f>
        <v>0</v>
      </c>
      <c r="L36" s="105">
        <f>budgetMilestone3[[#This Row],[Milestone 3]]</f>
        <v>0</v>
      </c>
      <c r="M36" s="105">
        <f>budgetMilestone4[[#This Row],[Milestone 4]]</f>
        <v>0</v>
      </c>
      <c r="N36" s="105">
        <f>SUMIFS(ARF[Amount in Euro], ARF[Co Director],budgetFinal[director], ARF[Category], budgetFinal[Category], ARF[Date], "&gt;" &amp; cleanDateMilestone4,ARF[Date], "&lt;=" &amp; cleanDateFinal)</f>
        <v>0</v>
      </c>
      <c r="O36" s="105">
        <f>SUM(budgetFinal[[#This Row],[Milestone 1]:[Final]])</f>
        <v>0</v>
      </c>
      <c r="P36" s="60">
        <f>ROW()-ROW(budgetFinal[#Headers])</f>
        <v>19</v>
      </c>
      <c r="Q36" s="60">
        <f>IF(budgetFinal[row] &lt;= numCategories +3, budgetFinal[row]-1, MOD(budgetFinal[row]-1,numCategories+3) + IF(MOD(budgetFinal[row]-2,numCategories+2)&gt;numCategories+1, 1,0))</f>
        <v>7</v>
      </c>
      <c r="R36" s="60">
        <f>IFERROR(INDEX(directors[Last],MAX(1,FLOOR((budgetFinal[row]-1)/(numCategories+3)+1,1))),1)</f>
        <v>0</v>
      </c>
    </row>
    <row r="37" spans="1:18" ht="15" customHeight="1" x14ac:dyDescent="0.25">
      <c r="A37" s="105" t="str">
        <f ca="1"/>
        <v>Co-financing of personnel</v>
      </c>
      <c r="B37" s="105">
        <f ca="1"/>
        <v>0</v>
      </c>
      <c r="C37" s="105">
        <f ca="1"/>
        <v>0</v>
      </c>
      <c r="D37" s="105">
        <f ca="1"/>
        <v>0</v>
      </c>
      <c r="E37" s="105">
        <f ca="1"/>
        <v>0</v>
      </c>
      <c r="F37" s="105">
        <f ca="1"/>
        <v>0</v>
      </c>
      <c r="G37" s="105">
        <f ca="1"/>
        <v>0</v>
      </c>
      <c r="H37" s="60"/>
      <c r="I37"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Co-financing of personnel</v>
      </c>
      <c r="J37" s="60">
        <f>budgetMilestone1[[#This Row],[Milestone 1]]</f>
        <v>0</v>
      </c>
      <c r="K37" s="60">
        <f>budgetMilestone2[[#This Row],[Milestone 2]]</f>
        <v>0</v>
      </c>
      <c r="L37" s="60">
        <f>budgetMilestone3[[#This Row],[Milestone 3]]</f>
        <v>0</v>
      </c>
      <c r="M37" s="60">
        <f>budgetMilestone4[[#This Row],[Milestone 4]]</f>
        <v>0</v>
      </c>
      <c r="N37" s="60">
        <f>SUMIFS(ARF[Amount in Euro], ARF[Co Director],budgetFinal[director], ARF[Category], budgetFinal[Category], ARF[Date], "&gt;" &amp; cleanDateMilestone4,ARF[Date], "&lt;=" &amp; cleanDateFinal)</f>
        <v>0</v>
      </c>
      <c r="O37" s="60">
        <f>SUM(budgetFinal[[#This Row],[Milestone 1]:[Final]])</f>
        <v>0</v>
      </c>
      <c r="P37" s="60">
        <f>ROW()-ROW(budgetFinal[#Headers])</f>
        <v>20</v>
      </c>
      <c r="Q37" s="60">
        <f>IF(budgetFinal[row] &lt;= numCategories +3, budgetFinal[row]-1, MOD(budgetFinal[row]-1,numCategories+3) + IF(MOD(budgetFinal[row]-2,numCategories+2)&gt;numCategories+1, 1,0))</f>
        <v>8</v>
      </c>
      <c r="R37" s="60">
        <f>IFERROR(INDEX(directors[Last],MAX(1,FLOOR((budgetFinal[row]-1)/(numCategories+3)+1,1))),1)</f>
        <v>0</v>
      </c>
    </row>
    <row r="38" spans="1:18" ht="15" customHeight="1" x14ac:dyDescent="0.25">
      <c r="A38" s="105" t="str">
        <f ca="1"/>
        <v>Subtotal 0</v>
      </c>
      <c r="B38" s="105">
        <f ca="1"/>
        <v>0</v>
      </c>
      <c r="C38" s="105">
        <f ca="1"/>
        <v>0</v>
      </c>
      <c r="D38" s="105">
        <f ca="1"/>
        <v>0</v>
      </c>
      <c r="E38" s="105">
        <f ca="1"/>
        <v>0</v>
      </c>
      <c r="F38" s="105">
        <f ca="1"/>
        <v>0</v>
      </c>
      <c r="G38" s="105">
        <f ca="1"/>
        <v>0</v>
      </c>
      <c r="H38" s="60"/>
      <c r="I38"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Subtotal 0</v>
      </c>
      <c r="J38" s="60">
        <f>budgetMilestone1[[#This Row],[Milestone 1]]</f>
        <v>0</v>
      </c>
      <c r="K38" s="60">
        <f>budgetMilestone2[[#This Row],[Milestone 2]]</f>
        <v>0</v>
      </c>
      <c r="L38" s="60">
        <f>budgetMilestone3[[#This Row],[Milestone 3]]</f>
        <v>0</v>
      </c>
      <c r="M38" s="60">
        <f>budgetMilestone4[[#This Row],[Milestone 4]]</f>
        <v>0</v>
      </c>
      <c r="N38" s="60">
        <f>SUBTOTAL(9,N30:N37)</f>
        <v>0</v>
      </c>
      <c r="O38" s="60">
        <f>SUBTOTAL(9,O30:O37)</f>
        <v>0</v>
      </c>
      <c r="P38" s="60">
        <f>ROW()-ROW(budgetFinal[#Headers])</f>
        <v>21</v>
      </c>
      <c r="Q38" s="60">
        <f>IF(budgetFinal[row] &lt;= numCategories +3, budgetFinal[row]-1, MOD(budgetFinal[row]-1,numCategories+3) + IF(MOD(budgetFinal[row]-2,numCategories+2)&gt;numCategories+1, 1,0))</f>
        <v>9</v>
      </c>
      <c r="R38" s="60">
        <f>IFERROR(INDEX(directors[Last],MAX(1,FLOOR((budgetFinal[row]-1)/(numCategories+3)+1,1))),1)</f>
        <v>0</v>
      </c>
    </row>
    <row r="39" spans="1:18" ht="15" customHeight="1" x14ac:dyDescent="0.25">
      <c r="A39" s="105" t="str">
        <f ca="1"/>
        <v/>
      </c>
      <c r="B39" s="105">
        <f ca="1"/>
        <v>0</v>
      </c>
      <c r="C39" s="105">
        <f ca="1"/>
        <v>0</v>
      </c>
      <c r="D39" s="105">
        <f ca="1"/>
        <v>0</v>
      </c>
      <c r="E39" s="105">
        <f ca="1"/>
        <v>0</v>
      </c>
      <c r="F39" s="105">
        <f ca="1"/>
        <v>0</v>
      </c>
      <c r="G39" s="105">
        <f ca="1"/>
        <v>0</v>
      </c>
      <c r="H39" s="60"/>
      <c r="I39"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c>
      <c r="J39" s="60">
        <f>budgetMilestone1[[#This Row],[Milestone 1]]</f>
        <v>0</v>
      </c>
      <c r="K39" s="60">
        <f>budgetMilestone2[[#This Row],[Milestone 2]]</f>
        <v>0</v>
      </c>
      <c r="L39" s="60">
        <f>budgetMilestone3[[#This Row],[Milestone 3]]</f>
        <v>0</v>
      </c>
      <c r="M39" s="60">
        <f>budgetMilestone4[[#This Row],[Milestone 4]]</f>
        <v>0</v>
      </c>
      <c r="N39" s="60"/>
      <c r="O39" s="60"/>
      <c r="P39" s="60">
        <f>ROW()-ROW(budgetFinal[#Headers])</f>
        <v>22</v>
      </c>
      <c r="Q39" s="60">
        <f>IF(budgetFinal[row] &lt;= numCategories +3, budgetFinal[row]-1, MOD(budgetFinal[row]-1,numCategories+3) + IF(MOD(budgetFinal[row]-2,numCategories+2)&gt;numCategories+1, 1,0))</f>
        <v>10</v>
      </c>
      <c r="R39" s="60">
        <f>IFERROR(INDEX(directors[Last],MAX(1,FLOOR((budgetFinal[row]-1)/(numCategories+3)+1,1))),1)</f>
        <v>0</v>
      </c>
    </row>
    <row r="40" spans="1:18" ht="15" customHeight="1" x14ac:dyDescent="0.25">
      <c r="A40" s="105" t="str">
        <f ca="1"/>
        <v xml:space="preserve">0 / </v>
      </c>
      <c r="B40" s="105">
        <f ca="1"/>
        <v>0</v>
      </c>
      <c r="C40" s="105">
        <f ca="1"/>
        <v>0</v>
      </c>
      <c r="D40" s="105">
        <f ca="1"/>
        <v>0</v>
      </c>
      <c r="E40" s="105">
        <f ca="1"/>
        <v>0</v>
      </c>
      <c r="F40" s="105">
        <f ca="1"/>
        <v>0</v>
      </c>
      <c r="G40" s="105">
        <f ca="1"/>
        <v>0</v>
      </c>
      <c r="H40" s="60"/>
      <c r="I40"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xml:space="preserve">0 / </v>
      </c>
      <c r="J40" s="60">
        <f>budgetMilestone1[[#This Row],[Milestone 1]]</f>
        <v>0</v>
      </c>
      <c r="K40" s="60">
        <f>budgetMilestone2[[#This Row],[Milestone 2]]</f>
        <v>0</v>
      </c>
      <c r="L40" s="60">
        <f>budgetMilestone3[[#This Row],[Milestone 3]]</f>
        <v>0</v>
      </c>
      <c r="M40" s="60">
        <f>budgetMilestone4[[#This Row],[Milestone 4]]</f>
        <v>0</v>
      </c>
      <c r="N40" s="60">
        <f>SUMIFS(ARF[Amount in Euro], ARF[Co Director],budgetFinal[director], ARF[Category], budgetFinal[Category], ARF[Date], "&gt;" &amp; cleanDateMilestone4,ARF[Date], "&lt;=" &amp; cleanDateFinal)</f>
        <v>0</v>
      </c>
      <c r="O40" s="60"/>
      <c r="P40" s="60">
        <f>ROW()-ROW(budgetFinal[#Headers])</f>
        <v>23</v>
      </c>
      <c r="Q40" s="60">
        <f>IF(budgetFinal[row] &lt;= numCategories +3, budgetFinal[row]-1, MOD(budgetFinal[row]-1,numCategories+3) + IF(MOD(budgetFinal[row]-2,numCategories+2)&gt;numCategories+1, 1,0))</f>
        <v>0</v>
      </c>
      <c r="R40" s="60">
        <f>IFERROR(INDEX(directors[Last],MAX(1,FLOOR((budgetFinal[row]-1)/(numCategories+3)+1,1))),1)</f>
        <v>0</v>
      </c>
    </row>
    <row r="41" spans="1:18" ht="15" customHeight="1" x14ac:dyDescent="0.25">
      <c r="A41" s="105" t="str">
        <f ca="1"/>
        <v>Equipment</v>
      </c>
      <c r="B41" s="105">
        <f ca="1"/>
        <v>0</v>
      </c>
      <c r="C41" s="105">
        <f ca="1"/>
        <v>0</v>
      </c>
      <c r="D41" s="105">
        <f ca="1"/>
        <v>0</v>
      </c>
      <c r="E41" s="105">
        <f ca="1"/>
        <v>0</v>
      </c>
      <c r="F41" s="105">
        <f ca="1"/>
        <v>0</v>
      </c>
      <c r="G41" s="105">
        <f ca="1"/>
        <v>0</v>
      </c>
      <c r="H41" s="60"/>
      <c r="I41"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Equipment</v>
      </c>
      <c r="J41" s="60">
        <f>budgetMilestone1[[#This Row],[Milestone 1]]</f>
        <v>0</v>
      </c>
      <c r="K41" s="60">
        <f>budgetMilestone2[[#This Row],[Milestone 2]]</f>
        <v>0</v>
      </c>
      <c r="L41" s="60">
        <f>budgetMilestone3[[#This Row],[Milestone 3]]</f>
        <v>0</v>
      </c>
      <c r="M41" s="60">
        <f>budgetMilestone4[[#This Row],[Milestone 4]]</f>
        <v>0</v>
      </c>
      <c r="N41" s="60">
        <f>SUMIFS(ARF[Amount in Euro], ARF[Co Director],budgetFinal[director], ARF[Category], budgetFinal[Category], ARF[Date], "&gt;" &amp; cleanDateMilestone4,ARF[Date], "&lt;=" &amp; cleanDateFinal)</f>
        <v>0</v>
      </c>
      <c r="O41" s="60">
        <f>SUM(budgetFinal[[#This Row],[Milestone 1]:[Final]])</f>
        <v>0</v>
      </c>
      <c r="P41" s="60">
        <f>ROW()-ROW(budgetFinal[#Headers])</f>
        <v>24</v>
      </c>
      <c r="Q41" s="60">
        <f>IF(budgetFinal[row] &lt;= numCategories +3, budgetFinal[row]-1, MOD(budgetFinal[row]-1,numCategories+3) + IF(MOD(budgetFinal[row]-2,numCategories+2)&gt;numCategories+1, 1,0))</f>
        <v>1</v>
      </c>
      <c r="R41" s="60">
        <f>IFERROR(INDEX(directors[Last],MAX(1,FLOOR((budgetFinal[row]-1)/(numCategories+3)+1,1))),1)</f>
        <v>0</v>
      </c>
    </row>
    <row r="42" spans="1:18" ht="15" customHeight="1" x14ac:dyDescent="0.25">
      <c r="A42" s="105" t="str">
        <f ca="1"/>
        <v>Training</v>
      </c>
      <c r="B42" s="105">
        <f ca="1"/>
        <v>0</v>
      </c>
      <c r="C42" s="105">
        <f ca="1"/>
        <v>0</v>
      </c>
      <c r="D42" s="105">
        <f ca="1"/>
        <v>0</v>
      </c>
      <c r="E42" s="105">
        <f ca="1"/>
        <v>0</v>
      </c>
      <c r="F42" s="105">
        <f ca="1"/>
        <v>0</v>
      </c>
      <c r="G42" s="105">
        <f ca="1"/>
        <v>0</v>
      </c>
      <c r="H42" s="60"/>
      <c r="I42"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Training</v>
      </c>
      <c r="J42" s="60">
        <f>budgetMilestone1[[#This Row],[Milestone 1]]</f>
        <v>0</v>
      </c>
      <c r="K42" s="60">
        <f>budgetMilestone2[[#This Row],[Milestone 2]]</f>
        <v>0</v>
      </c>
      <c r="L42" s="60">
        <f>budgetMilestone3[[#This Row],[Milestone 3]]</f>
        <v>0</v>
      </c>
      <c r="M42" s="60">
        <f>budgetMilestone4[[#This Row],[Milestone 4]]</f>
        <v>0</v>
      </c>
      <c r="N42" s="60">
        <f>SUMIFS(ARF[Amount in Euro], ARF[Co Director],budgetFinal[director], ARF[Category], budgetFinal[Category], ARF[Date], "&gt;" &amp; cleanDateMilestone4,ARF[Date], "&lt;=" &amp; cleanDateFinal)</f>
        <v>0</v>
      </c>
      <c r="O42" s="60">
        <f>SUM(budgetFinal[[#This Row],[Milestone 1]:[Final]])</f>
        <v>0</v>
      </c>
      <c r="P42" s="60">
        <f>ROW()-ROW(budgetFinal[#Headers])</f>
        <v>25</v>
      </c>
      <c r="Q42" s="60">
        <f>IF(budgetFinal[row] &lt;= numCategories +3, budgetFinal[row]-1, MOD(budgetFinal[row]-1,numCategories+3) + IF(MOD(budgetFinal[row]-2,numCategories+2)&gt;numCategories+1, 1,0))</f>
        <v>2</v>
      </c>
      <c r="R42" s="60">
        <f>IFERROR(INDEX(directors[Last],MAX(1,FLOOR((budgetFinal[row]-1)/(numCategories+3)+1,1))),1)</f>
        <v>0</v>
      </c>
    </row>
    <row r="43" spans="1:18" ht="15" customHeight="1" x14ac:dyDescent="0.25">
      <c r="A43" s="105" t="str">
        <f ca="1"/>
        <v>Communication &amp; Publication</v>
      </c>
      <c r="B43" s="105">
        <f ca="1"/>
        <v>0</v>
      </c>
      <c r="C43" s="105">
        <f ca="1"/>
        <v>0</v>
      </c>
      <c r="D43" s="105">
        <f ca="1"/>
        <v>0</v>
      </c>
      <c r="E43" s="105">
        <f ca="1"/>
        <v>0</v>
      </c>
      <c r="F43" s="105">
        <f ca="1"/>
        <v>0</v>
      </c>
      <c r="G43" s="105">
        <f ca="1"/>
        <v>0</v>
      </c>
      <c r="H43" s="60"/>
      <c r="I43"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Communication &amp; Publication</v>
      </c>
      <c r="J43" s="60">
        <f>budgetMilestone1[[#This Row],[Milestone 1]]</f>
        <v>0</v>
      </c>
      <c r="K43" s="60">
        <f>budgetMilestone2[[#This Row],[Milestone 2]]</f>
        <v>0</v>
      </c>
      <c r="L43" s="60">
        <f>budgetMilestone3[[#This Row],[Milestone 3]]</f>
        <v>0</v>
      </c>
      <c r="M43" s="60">
        <f>budgetMilestone4[[#This Row],[Milestone 4]]</f>
        <v>0</v>
      </c>
      <c r="N43" s="60">
        <f>SUMIFS(ARF[Amount in Euro], ARF[Co Director],budgetFinal[director], ARF[Category], budgetFinal[Category], ARF[Date], "&gt;" &amp; cleanDateMilestone4,ARF[Date], "&lt;=" &amp; cleanDateFinal)</f>
        <v>0</v>
      </c>
      <c r="O43" s="60">
        <f>SUM(budgetFinal[[#This Row],[Milestone 1]:[Final]])</f>
        <v>0</v>
      </c>
      <c r="P43" s="60">
        <f>ROW()-ROW(budgetFinal[#Headers])</f>
        <v>26</v>
      </c>
      <c r="Q43" s="60">
        <f>IF(budgetFinal[row] &lt;= numCategories +3, budgetFinal[row]-1, MOD(budgetFinal[row]-1,numCategories+3) + IF(MOD(budgetFinal[row]-2,numCategories+2)&gt;numCategories+1, 1,0))</f>
        <v>3</v>
      </c>
      <c r="R43" s="60">
        <f>IFERROR(INDEX(directors[Last],MAX(1,FLOOR((budgetFinal[row]-1)/(numCategories+3)+1,1))),1)</f>
        <v>0</v>
      </c>
    </row>
    <row r="44" spans="1:18" ht="15" customHeight="1" x14ac:dyDescent="0.25">
      <c r="A44" s="105" t="str">
        <f ca="1"/>
        <v>Travel</v>
      </c>
      <c r="B44" s="105">
        <f ca="1"/>
        <v>0</v>
      </c>
      <c r="C44" s="105">
        <f ca="1"/>
        <v>0</v>
      </c>
      <c r="D44" s="105">
        <f ca="1"/>
        <v>0</v>
      </c>
      <c r="E44" s="105">
        <f ca="1"/>
        <v>0</v>
      </c>
      <c r="F44" s="105">
        <f ca="1"/>
        <v>0</v>
      </c>
      <c r="G44" s="105">
        <f ca="1"/>
        <v>0</v>
      </c>
      <c r="H44" s="60"/>
      <c r="I44"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Travel</v>
      </c>
      <c r="J44" s="60">
        <f>budgetMilestone1[[#This Row],[Milestone 1]]</f>
        <v>0</v>
      </c>
      <c r="K44" s="60">
        <f>budgetMilestone2[[#This Row],[Milestone 2]]</f>
        <v>0</v>
      </c>
      <c r="L44" s="60">
        <f>budgetMilestone3[[#This Row],[Milestone 3]]</f>
        <v>0</v>
      </c>
      <c r="M44" s="60">
        <f>budgetMilestone4[[#This Row],[Milestone 4]]</f>
        <v>0</v>
      </c>
      <c r="N44" s="60">
        <f>SUMIFS(ARF[Amount in Euro], ARF[Co Director],budgetFinal[director], ARF[Category], budgetFinal[Category], ARF[Date], "&gt;" &amp; cleanDateMilestone4,ARF[Date], "&lt;=" &amp; cleanDateFinal)</f>
        <v>0</v>
      </c>
      <c r="O44" s="60">
        <f>SUM(budgetFinal[[#This Row],[Milestone 1]:[Final]])</f>
        <v>0</v>
      </c>
      <c r="P44" s="60">
        <f>ROW()-ROW(budgetFinal[#Headers])</f>
        <v>27</v>
      </c>
      <c r="Q44" s="60">
        <f>IF(budgetFinal[row] &lt;= numCategories +3, budgetFinal[row]-1, MOD(budgetFinal[row]-1,numCategories+3) + IF(MOD(budgetFinal[row]-2,numCategories+2)&gt;numCategories+1, 1,0))</f>
        <v>4</v>
      </c>
      <c r="R44" s="60">
        <f>IFERROR(INDEX(directors[Last],MAX(1,FLOOR((budgetFinal[row]-1)/(numCategories+3)+1,1))),1)</f>
        <v>0</v>
      </c>
    </row>
    <row r="45" spans="1:18" ht="15" customHeight="1" x14ac:dyDescent="0.25">
      <c r="A45" s="105" t="str">
        <f ca="1"/>
        <v>Consumables</v>
      </c>
      <c r="B45" s="105">
        <f ca="1"/>
        <v>0</v>
      </c>
      <c r="C45" s="105">
        <f ca="1"/>
        <v>0</v>
      </c>
      <c r="D45" s="105">
        <f ca="1"/>
        <v>0</v>
      </c>
      <c r="E45" s="105">
        <f ca="1"/>
        <v>0</v>
      </c>
      <c r="F45" s="105">
        <f ca="1"/>
        <v>0</v>
      </c>
      <c r="G45" s="105">
        <f ca="1"/>
        <v>0</v>
      </c>
      <c r="H45" s="60"/>
      <c r="I45"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Consumables</v>
      </c>
      <c r="J45" s="60">
        <f>budgetMilestone1[[#This Row],[Milestone 1]]</f>
        <v>0</v>
      </c>
      <c r="K45" s="60">
        <f>budgetMilestone2[[#This Row],[Milestone 2]]</f>
        <v>0</v>
      </c>
      <c r="L45" s="60">
        <f>budgetMilestone3[[#This Row],[Milestone 3]]</f>
        <v>0</v>
      </c>
      <c r="M45" s="60">
        <f>budgetMilestone4[[#This Row],[Milestone 4]]</f>
        <v>0</v>
      </c>
      <c r="N45" s="60">
        <f>SUMIFS(ARF[Amount in Euro], ARF[Co Director],budgetFinal[director], ARF[Category], budgetFinal[Category], ARF[Date], "&gt;" &amp; cleanDateMilestone4,ARF[Date], "&lt;=" &amp; cleanDateFinal)</f>
        <v>0</v>
      </c>
      <c r="O45" s="60">
        <f>SUM(budgetFinal[[#This Row],[Milestone 1]:[Final]])</f>
        <v>0</v>
      </c>
      <c r="P45" s="60">
        <f>ROW()-ROW(budgetFinal[#Headers])</f>
        <v>28</v>
      </c>
      <c r="Q45" s="60">
        <f>IF(budgetFinal[row] &lt;= numCategories +3, budgetFinal[row]-1, MOD(budgetFinal[row]-1,numCategories+3) + IF(MOD(budgetFinal[row]-2,numCategories+2)&gt;numCategories+1, 1,0))</f>
        <v>5</v>
      </c>
      <c r="R45" s="60">
        <f>IFERROR(INDEX(directors[Last],MAX(1,FLOOR((budgetFinal[row]-1)/(numCategories+3)+1,1))),1)</f>
        <v>0</v>
      </c>
    </row>
    <row r="46" spans="1:18" ht="15" customHeight="1" x14ac:dyDescent="0.25">
      <c r="A46" s="105" t="str">
        <f ca="1"/>
        <v>Other</v>
      </c>
      <c r="B46" s="105">
        <f ca="1"/>
        <v>0</v>
      </c>
      <c r="C46" s="105">
        <f ca="1"/>
        <v>0</v>
      </c>
      <c r="D46" s="105">
        <f ca="1"/>
        <v>0</v>
      </c>
      <c r="E46" s="105">
        <f ca="1"/>
        <v>0</v>
      </c>
      <c r="F46" s="105">
        <f ca="1"/>
        <v>0</v>
      </c>
      <c r="G46" s="105">
        <f ca="1"/>
        <v>0</v>
      </c>
      <c r="H46" s="60"/>
      <c r="I46"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Other</v>
      </c>
      <c r="J46" s="60">
        <f>budgetMilestone1[[#This Row],[Milestone 1]]</f>
        <v>0</v>
      </c>
      <c r="K46" s="60">
        <f>budgetMilestone2[[#This Row],[Milestone 2]]</f>
        <v>0</v>
      </c>
      <c r="L46" s="60">
        <f>budgetMilestone3[[#This Row],[Milestone 3]]</f>
        <v>0</v>
      </c>
      <c r="M46" s="60">
        <f>budgetMilestone4[[#This Row],[Milestone 4]]</f>
        <v>0</v>
      </c>
      <c r="N46" s="60">
        <f>SUMIFS(ARF[Amount in Euro], ARF[Co Director],budgetFinal[director], ARF[Category], budgetFinal[Category], ARF[Date], "&gt;" &amp; cleanDateMilestone4,ARF[Date], "&lt;=" &amp; cleanDateFinal)</f>
        <v>0</v>
      </c>
      <c r="O46" s="60">
        <f>SUM(budgetFinal[[#This Row],[Milestone 1]:[Final]])</f>
        <v>0</v>
      </c>
      <c r="P46" s="60">
        <f>ROW()-ROW(budgetFinal[#Headers])</f>
        <v>29</v>
      </c>
      <c r="Q46" s="60">
        <f>IF(budgetFinal[row] &lt;= numCategories +3, budgetFinal[row]-1, MOD(budgetFinal[row]-1,numCategories+3) + IF(MOD(budgetFinal[row]-2,numCategories+2)&gt;numCategories+1, 1,0))</f>
        <v>6</v>
      </c>
      <c r="R46" s="60">
        <f>IFERROR(INDEX(directors[Last],MAX(1,FLOOR((budgetFinal[row]-1)/(numCategories+3)+1,1))),1)</f>
        <v>0</v>
      </c>
    </row>
    <row r="47" spans="1:18" ht="15" customHeight="1" x14ac:dyDescent="0.25">
      <c r="A47" s="105" t="str">
        <f ca="1"/>
        <v>Stipends</v>
      </c>
      <c r="B47" s="105">
        <f ca="1"/>
        <v>0</v>
      </c>
      <c r="C47" s="105">
        <f ca="1"/>
        <v>0</v>
      </c>
      <c r="D47" s="105">
        <f ca="1"/>
        <v>0</v>
      </c>
      <c r="E47" s="105">
        <f ca="1"/>
        <v>0</v>
      </c>
      <c r="F47" s="105">
        <f ca="1"/>
        <v>0</v>
      </c>
      <c r="G47" s="105">
        <f ca="1"/>
        <v>0</v>
      </c>
      <c r="H47" s="60"/>
      <c r="I47"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Stipends</v>
      </c>
      <c r="J47" s="60">
        <f>budgetMilestone1[[#This Row],[Milestone 1]]</f>
        <v>0</v>
      </c>
      <c r="K47" s="60">
        <f>budgetMilestone2[[#This Row],[Milestone 2]]</f>
        <v>0</v>
      </c>
      <c r="L47" s="60">
        <f>budgetMilestone3[[#This Row],[Milestone 3]]</f>
        <v>0</v>
      </c>
      <c r="M47" s="60">
        <f>budgetMilestone4[[#This Row],[Milestone 4]]</f>
        <v>0</v>
      </c>
      <c r="N47" s="60">
        <f>SUMIFS(ARF[Amount in Euro], ARF[Co Director],budgetFinal[director], ARF[Category], budgetFinal[Category], ARF[Date], "&gt;" &amp; cleanDateMilestone4,ARF[Date], "&lt;=" &amp; cleanDateFinal)</f>
        <v>0</v>
      </c>
      <c r="O47" s="60">
        <f>SUM(budgetFinal[[#This Row],[Milestone 1]:[Final]])</f>
        <v>0</v>
      </c>
      <c r="P47" s="60">
        <f>ROW()-ROW(budgetFinal[#Headers])</f>
        <v>30</v>
      </c>
      <c r="Q47" s="60">
        <f>IF(budgetFinal[row] &lt;= numCategories +3, budgetFinal[row]-1, MOD(budgetFinal[row]-1,numCategories+3) + IF(MOD(budgetFinal[row]-2,numCategories+2)&gt;numCategories+1, 1,0))</f>
        <v>7</v>
      </c>
      <c r="R47" s="60">
        <f>IFERROR(INDEX(directors[Last],MAX(1,FLOOR((budgetFinal[row]-1)/(numCategories+3)+1,1))),1)</f>
        <v>0</v>
      </c>
    </row>
    <row r="48" spans="1:18" ht="15" customHeight="1" x14ac:dyDescent="0.25">
      <c r="A48" s="105" t="str">
        <f ca="1"/>
        <v>Co-financing of personnel</v>
      </c>
      <c r="B48" s="105">
        <f ca="1"/>
        <v>0</v>
      </c>
      <c r="C48" s="105">
        <f ca="1"/>
        <v>0</v>
      </c>
      <c r="D48" s="105">
        <f ca="1"/>
        <v>0</v>
      </c>
      <c r="E48" s="105">
        <f ca="1"/>
        <v>0</v>
      </c>
      <c r="F48" s="105">
        <f ca="1"/>
        <v>0</v>
      </c>
      <c r="G48" s="105">
        <f ca="1"/>
        <v>0</v>
      </c>
      <c r="H48" s="60"/>
      <c r="I48"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Co-financing of personnel</v>
      </c>
      <c r="J48" s="60">
        <f>budgetMilestone1[[#This Row],[Milestone 1]]</f>
        <v>0</v>
      </c>
      <c r="K48" s="60">
        <f>budgetMilestone2[[#This Row],[Milestone 2]]</f>
        <v>0</v>
      </c>
      <c r="L48" s="60">
        <f>budgetMilestone3[[#This Row],[Milestone 3]]</f>
        <v>0</v>
      </c>
      <c r="M48" s="60">
        <f>budgetMilestone4[[#This Row],[Milestone 4]]</f>
        <v>0</v>
      </c>
      <c r="N48" s="60">
        <f>SUMIFS(ARF[Amount in Euro], ARF[Co Director],budgetFinal[director], ARF[Category], budgetFinal[Category], ARF[Date], "&gt;" &amp; cleanDateMilestone4,ARF[Date], "&lt;=" &amp; cleanDateFinal)</f>
        <v>0</v>
      </c>
      <c r="O48" s="60">
        <f>SUM(budgetFinal[[#This Row],[Milestone 1]:[Final]])</f>
        <v>0</v>
      </c>
      <c r="P48" s="60">
        <f>ROW()-ROW(budgetFinal[#Headers])</f>
        <v>31</v>
      </c>
      <c r="Q48" s="60">
        <f>IF(budgetFinal[row] &lt;= numCategories +3, budgetFinal[row]-1, MOD(budgetFinal[row]-1,numCategories+3) + IF(MOD(budgetFinal[row]-2,numCategories+2)&gt;numCategories+1, 1,0))</f>
        <v>8</v>
      </c>
      <c r="R48" s="60">
        <f>IFERROR(INDEX(directors[Last],MAX(1,FLOOR((budgetFinal[row]-1)/(numCategories+3)+1,1))),1)</f>
        <v>0</v>
      </c>
    </row>
    <row r="49" spans="1:18" ht="15" customHeight="1" x14ac:dyDescent="0.25">
      <c r="A49" s="105" t="str">
        <f ca="1"/>
        <v>Subtotal 0</v>
      </c>
      <c r="B49" s="105">
        <f ca="1"/>
        <v>0</v>
      </c>
      <c r="C49" s="105">
        <f ca="1"/>
        <v>0</v>
      </c>
      <c r="D49" s="105">
        <f ca="1"/>
        <v>0</v>
      </c>
      <c r="E49" s="105">
        <f ca="1"/>
        <v>0</v>
      </c>
      <c r="F49" s="105">
        <f ca="1"/>
        <v>0</v>
      </c>
      <c r="G49" s="105">
        <f ca="1"/>
        <v>0</v>
      </c>
      <c r="H49" s="60"/>
      <c r="I49"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Subtotal 0</v>
      </c>
      <c r="J49" s="60">
        <f>budgetMilestone1[[#This Row],[Milestone 1]]</f>
        <v>0</v>
      </c>
      <c r="K49" s="60">
        <f>budgetMilestone2[[#This Row],[Milestone 2]]</f>
        <v>0</v>
      </c>
      <c r="L49" s="60">
        <f>budgetMilestone3[[#This Row],[Milestone 3]]</f>
        <v>0</v>
      </c>
      <c r="M49" s="60">
        <f>budgetMilestone4[[#This Row],[Milestone 4]]</f>
        <v>0</v>
      </c>
      <c r="N49" s="60">
        <f>SUBTOTAL(9,N41:N48)</f>
        <v>0</v>
      </c>
      <c r="O49" s="60">
        <f t="shared" ref="O49" si="1">SUBTOTAL(9,O41:O48)</f>
        <v>0</v>
      </c>
      <c r="P49" s="60">
        <f>ROW()-ROW(budgetFinal[#Headers])</f>
        <v>32</v>
      </c>
      <c r="Q49" s="60">
        <f>IF(budgetFinal[row] &lt;= numCategories +3, budgetFinal[row]-1, MOD(budgetFinal[row]-1,numCategories+3) + IF(MOD(budgetFinal[row]-2,numCategories+2)&gt;numCategories+1, 1,0))</f>
        <v>9</v>
      </c>
      <c r="R49" s="60">
        <f>IFERROR(INDEX(directors[Last],MAX(1,FLOOR((budgetFinal[row]-1)/(numCategories+3)+1,1))),1)</f>
        <v>0</v>
      </c>
    </row>
    <row r="50" spans="1:18" ht="15" customHeight="1" x14ac:dyDescent="0.25">
      <c r="A50" s="105" t="str">
        <f ca="1"/>
        <v/>
      </c>
      <c r="B50" s="105">
        <f ca="1"/>
        <v>0</v>
      </c>
      <c r="C50" s="105">
        <f ca="1"/>
        <v>0</v>
      </c>
      <c r="D50" s="105">
        <f ca="1"/>
        <v>0</v>
      </c>
      <c r="E50" s="105">
        <f ca="1"/>
        <v>0</v>
      </c>
      <c r="F50" s="105">
        <f ca="1"/>
        <v>0</v>
      </c>
      <c r="G50" s="105">
        <f ca="1"/>
        <v>0</v>
      </c>
      <c r="H50" s="60"/>
      <c r="I50"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c>
      <c r="J50" s="60">
        <f>budgetMilestone1[[#This Row],[Milestone 1]]</f>
        <v>0</v>
      </c>
      <c r="K50" s="60">
        <f>budgetMilestone2[[#This Row],[Milestone 2]]</f>
        <v>0</v>
      </c>
      <c r="L50" s="60">
        <f>budgetMilestone3[[#This Row],[Milestone 3]]</f>
        <v>0</v>
      </c>
      <c r="M50" s="60">
        <f>budgetMilestone4[[#This Row],[Milestone 4]]</f>
        <v>0</v>
      </c>
      <c r="N50" s="60">
        <f>SUMIFS(ARF[Amount in Euro], ARF[Co Director],budgetFinal[director], ARF[Category], budgetFinal[Category], ARF[Date], "&gt;" &amp; cleanDateMilestone4,ARF[Date], "&lt;=" &amp; cleanDateFinal)</f>
        <v>0</v>
      </c>
      <c r="O50" s="60"/>
      <c r="P50" s="60">
        <f>ROW()-ROW(budgetFinal[#Headers])</f>
        <v>33</v>
      </c>
      <c r="Q50" s="60">
        <f>IF(budgetFinal[row] &lt;= numCategories +3, budgetFinal[row]-1, MOD(budgetFinal[row]-1,numCategories+3) + IF(MOD(budgetFinal[row]-2,numCategories+2)&gt;numCategories+1, 1,0))</f>
        <v>10</v>
      </c>
      <c r="R50" s="60">
        <f>IFERROR(INDEX(directors[Last],MAX(1,FLOOR((budgetFinal[row]-1)/(numCategories+3)+1,1))),1)</f>
        <v>0</v>
      </c>
    </row>
    <row r="51" spans="1:18" ht="15" customHeight="1" x14ac:dyDescent="0.25">
      <c r="A51" s="105" t="str">
        <f ca="1"/>
        <v xml:space="preserve">0 / </v>
      </c>
      <c r="B51" s="105">
        <f ca="1"/>
        <v>0</v>
      </c>
      <c r="C51" s="105">
        <f ca="1"/>
        <v>0</v>
      </c>
      <c r="D51" s="105">
        <f ca="1"/>
        <v>0</v>
      </c>
      <c r="E51" s="105">
        <f ca="1"/>
        <v>0</v>
      </c>
      <c r="F51" s="105">
        <f ca="1"/>
        <v>0</v>
      </c>
      <c r="G51" s="105">
        <f ca="1"/>
        <v>0</v>
      </c>
      <c r="H51" s="60"/>
      <c r="I51"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xml:space="preserve">0 / </v>
      </c>
      <c r="J51" s="60">
        <f>budgetMilestone1[[#This Row],[Milestone 1]]</f>
        <v>0</v>
      </c>
      <c r="K51" s="60">
        <f>budgetMilestone2[[#This Row],[Milestone 2]]</f>
        <v>0</v>
      </c>
      <c r="L51" s="60">
        <f>budgetMilestone3[[#This Row],[Milestone 3]]</f>
        <v>0</v>
      </c>
      <c r="M51" s="60">
        <f>budgetMilestone4[[#This Row],[Milestone 4]]</f>
        <v>0</v>
      </c>
      <c r="N51" s="60">
        <f>SUMIFS(ARF[Amount in Euro], ARF[Co Director],budgetFinal[director], ARF[Category], budgetFinal[Category], ARF[Date], "&gt;" &amp; cleanDateMilestone4,ARF[Date], "&lt;=" &amp; cleanDateFinal)</f>
        <v>0</v>
      </c>
      <c r="O51" s="60"/>
      <c r="P51" s="60">
        <f>ROW()-ROW(budgetFinal[#Headers])</f>
        <v>34</v>
      </c>
      <c r="Q51" s="60">
        <f>IF(budgetFinal[row] &lt;= numCategories +3, budgetFinal[row]-1, MOD(budgetFinal[row]-1,numCategories+3) + IF(MOD(budgetFinal[row]-2,numCategories+2)&gt;numCategories+1, 1,0))</f>
        <v>0</v>
      </c>
      <c r="R51" s="60">
        <f>IFERROR(INDEX(directors[Last],MAX(1,FLOOR((budgetFinal[row]-1)/(numCategories+3)+1,1))),1)</f>
        <v>0</v>
      </c>
    </row>
    <row r="52" spans="1:18" ht="15" customHeight="1" x14ac:dyDescent="0.25">
      <c r="A52" s="105" t="str">
        <f ca="1"/>
        <v>Equipment</v>
      </c>
      <c r="B52" s="105">
        <f ca="1"/>
        <v>0</v>
      </c>
      <c r="C52" s="105">
        <f ca="1"/>
        <v>0</v>
      </c>
      <c r="D52" s="105">
        <f ca="1"/>
        <v>0</v>
      </c>
      <c r="E52" s="105">
        <f ca="1"/>
        <v>0</v>
      </c>
      <c r="F52" s="105">
        <f ca="1"/>
        <v>0</v>
      </c>
      <c r="G52" s="105">
        <f ca="1"/>
        <v>0</v>
      </c>
      <c r="H52" s="60"/>
      <c r="I52"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Equipment</v>
      </c>
      <c r="J52" s="60">
        <f>budgetMilestone1[[#This Row],[Milestone 1]]</f>
        <v>0</v>
      </c>
      <c r="K52" s="60">
        <f>budgetMilestone2[[#This Row],[Milestone 2]]</f>
        <v>0</v>
      </c>
      <c r="L52" s="60">
        <f>budgetMilestone3[[#This Row],[Milestone 3]]</f>
        <v>0</v>
      </c>
      <c r="M52" s="60">
        <f>budgetMilestone4[[#This Row],[Milestone 4]]</f>
        <v>0</v>
      </c>
      <c r="N52" s="60">
        <f>SUMIFS(ARF[Amount in Euro], ARF[Co Director],budgetFinal[director], ARF[Category], budgetFinal[Category], ARF[Date], "&gt;" &amp; cleanDateMilestone4,ARF[Date], "&lt;=" &amp; cleanDateFinal)</f>
        <v>0</v>
      </c>
      <c r="O52" s="60">
        <f>SUM(budgetFinal[[#This Row],[Milestone 1]:[Final]])</f>
        <v>0</v>
      </c>
      <c r="P52" s="60">
        <f>ROW()-ROW(budgetFinal[#Headers])</f>
        <v>35</v>
      </c>
      <c r="Q52" s="60">
        <f>IF(budgetFinal[row] &lt;= numCategories +3, budgetFinal[row]-1, MOD(budgetFinal[row]-1,numCategories+3) + IF(MOD(budgetFinal[row]-2,numCategories+2)&gt;numCategories+1, 1,0))</f>
        <v>1</v>
      </c>
      <c r="R52" s="60">
        <f>IFERROR(INDEX(directors[Last],MAX(1,FLOOR((budgetFinal[row]-1)/(numCategories+3)+1,1))),1)</f>
        <v>0</v>
      </c>
    </row>
    <row r="53" spans="1:18" ht="15" customHeight="1" x14ac:dyDescent="0.25">
      <c r="A53" s="105" t="str">
        <f ca="1"/>
        <v>Training</v>
      </c>
      <c r="B53" s="105">
        <f ca="1"/>
        <v>0</v>
      </c>
      <c r="C53" s="105">
        <f ca="1"/>
        <v>0</v>
      </c>
      <c r="D53" s="105">
        <f ca="1"/>
        <v>0</v>
      </c>
      <c r="E53" s="105">
        <f ca="1"/>
        <v>0</v>
      </c>
      <c r="F53" s="105">
        <f ca="1"/>
        <v>0</v>
      </c>
      <c r="G53" s="105">
        <f ca="1"/>
        <v>0</v>
      </c>
      <c r="H53" s="60"/>
      <c r="I53"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Training</v>
      </c>
      <c r="J53" s="60">
        <f>budgetMilestone1[[#This Row],[Milestone 1]]</f>
        <v>0</v>
      </c>
      <c r="K53" s="60">
        <f>budgetMilestone2[[#This Row],[Milestone 2]]</f>
        <v>0</v>
      </c>
      <c r="L53" s="60">
        <f>budgetMilestone3[[#This Row],[Milestone 3]]</f>
        <v>0</v>
      </c>
      <c r="M53" s="60">
        <f>budgetMilestone4[[#This Row],[Milestone 4]]</f>
        <v>0</v>
      </c>
      <c r="N53" s="60">
        <f>SUMIFS(ARF[Amount in Euro], ARF[Co Director],budgetFinal[director], ARF[Category], budgetFinal[Category], ARF[Date], "&gt;" &amp; cleanDateMilestone4,ARF[Date], "&lt;=" &amp; cleanDateFinal)</f>
        <v>0</v>
      </c>
      <c r="O53" s="60">
        <f>SUM(budgetFinal[[#This Row],[Milestone 1]:[Final]])</f>
        <v>0</v>
      </c>
      <c r="P53" s="60">
        <f>ROW()-ROW(budgetFinal[#Headers])</f>
        <v>36</v>
      </c>
      <c r="Q53" s="60">
        <f>IF(budgetFinal[row] &lt;= numCategories +3, budgetFinal[row]-1, MOD(budgetFinal[row]-1,numCategories+3) + IF(MOD(budgetFinal[row]-2,numCategories+2)&gt;numCategories+1, 1,0))</f>
        <v>2</v>
      </c>
      <c r="R53" s="60">
        <f>IFERROR(INDEX(directors[Last],MAX(1,FLOOR((budgetFinal[row]-1)/(numCategories+3)+1,1))),1)</f>
        <v>0</v>
      </c>
    </row>
    <row r="54" spans="1:18" ht="15" customHeight="1" x14ac:dyDescent="0.25">
      <c r="A54" s="105" t="str">
        <f ca="1"/>
        <v>Communication &amp; Publication</v>
      </c>
      <c r="B54" s="105">
        <f ca="1"/>
        <v>0</v>
      </c>
      <c r="C54" s="105">
        <f ca="1"/>
        <v>0</v>
      </c>
      <c r="D54" s="105">
        <f ca="1"/>
        <v>0</v>
      </c>
      <c r="E54" s="105">
        <f ca="1"/>
        <v>0</v>
      </c>
      <c r="F54" s="105">
        <f ca="1"/>
        <v>0</v>
      </c>
      <c r="G54" s="105">
        <f ca="1"/>
        <v>0</v>
      </c>
      <c r="H54" s="60"/>
      <c r="I54"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Communication &amp; Publication</v>
      </c>
      <c r="J54" s="60">
        <f>budgetMilestone1[[#This Row],[Milestone 1]]</f>
        <v>0</v>
      </c>
      <c r="K54" s="60">
        <f>budgetMilestone2[[#This Row],[Milestone 2]]</f>
        <v>0</v>
      </c>
      <c r="L54" s="60">
        <f>budgetMilestone3[[#This Row],[Milestone 3]]</f>
        <v>0</v>
      </c>
      <c r="M54" s="60">
        <f>budgetMilestone4[[#This Row],[Milestone 4]]</f>
        <v>0</v>
      </c>
      <c r="N54" s="60">
        <f>SUMIFS(ARF[Amount in Euro], ARF[Co Director],budgetFinal[director], ARF[Category], budgetFinal[Category], ARF[Date], "&gt;" &amp; cleanDateMilestone4,ARF[Date], "&lt;=" &amp; cleanDateFinal)</f>
        <v>0</v>
      </c>
      <c r="O54" s="60">
        <f>SUM(budgetFinal[[#This Row],[Milestone 1]:[Final]])</f>
        <v>0</v>
      </c>
      <c r="P54" s="60">
        <f>ROW()-ROW(budgetFinal[#Headers])</f>
        <v>37</v>
      </c>
      <c r="Q54" s="60">
        <f>IF(budgetFinal[row] &lt;= numCategories +3, budgetFinal[row]-1, MOD(budgetFinal[row]-1,numCategories+3) + IF(MOD(budgetFinal[row]-2,numCategories+2)&gt;numCategories+1, 1,0))</f>
        <v>3</v>
      </c>
      <c r="R54" s="60">
        <f>IFERROR(INDEX(directors[Last],MAX(1,FLOOR((budgetFinal[row]-1)/(numCategories+3)+1,1))),1)</f>
        <v>0</v>
      </c>
    </row>
    <row r="55" spans="1:18" ht="15" customHeight="1" x14ac:dyDescent="0.25">
      <c r="A55" s="105" t="str">
        <f ca="1"/>
        <v>Travel</v>
      </c>
      <c r="B55" s="105">
        <f ca="1"/>
        <v>0</v>
      </c>
      <c r="C55" s="105">
        <f ca="1"/>
        <v>0</v>
      </c>
      <c r="D55" s="105">
        <f ca="1"/>
        <v>0</v>
      </c>
      <c r="E55" s="105">
        <f ca="1"/>
        <v>0</v>
      </c>
      <c r="F55" s="105">
        <f ca="1"/>
        <v>0</v>
      </c>
      <c r="G55" s="105">
        <f ca="1"/>
        <v>0</v>
      </c>
      <c r="H55" s="60"/>
      <c r="I55"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Travel</v>
      </c>
      <c r="J55" s="60">
        <f>budgetMilestone1[[#This Row],[Milestone 1]]</f>
        <v>0</v>
      </c>
      <c r="K55" s="60">
        <f>budgetMilestone2[[#This Row],[Milestone 2]]</f>
        <v>0</v>
      </c>
      <c r="L55" s="60">
        <f>budgetMilestone3[[#This Row],[Milestone 3]]</f>
        <v>0</v>
      </c>
      <c r="M55" s="60">
        <f>budgetMilestone4[[#This Row],[Milestone 4]]</f>
        <v>0</v>
      </c>
      <c r="N55" s="60">
        <f>SUMIFS(ARF[Amount in Euro], ARF[Co Director],budgetFinal[director], ARF[Category], budgetFinal[Category], ARF[Date], "&gt;" &amp; cleanDateMilestone4,ARF[Date], "&lt;=" &amp; cleanDateFinal)</f>
        <v>0</v>
      </c>
      <c r="O55" s="60">
        <f>SUM(budgetFinal[[#This Row],[Milestone 1]:[Final]])</f>
        <v>0</v>
      </c>
      <c r="P55" s="61">
        <f>ROW()-ROW(budgetFinal[#Headers])</f>
        <v>38</v>
      </c>
      <c r="Q55" s="61">
        <f>IF(budgetFinal[row] &lt;= numCategories +3, budgetFinal[row]-1, MOD(budgetFinal[row]-1,numCategories+3) + IF(MOD(budgetFinal[row]-2,numCategories+2)&gt;numCategories+1, 1,0))</f>
        <v>4</v>
      </c>
      <c r="R55" s="60">
        <f>IFERROR(INDEX(directors[Last],MAX(1,FLOOR((budgetFinal[row]-1)/(numCategories+3)+1,1))),1)</f>
        <v>0</v>
      </c>
    </row>
    <row r="56" spans="1:18" ht="15" customHeight="1" x14ac:dyDescent="0.25">
      <c r="A56" s="105" t="str">
        <f ca="1"/>
        <v>Consumables</v>
      </c>
      <c r="B56" s="105">
        <f ca="1"/>
        <v>0</v>
      </c>
      <c r="C56" s="105">
        <f ca="1"/>
        <v>0</v>
      </c>
      <c r="D56" s="105">
        <f ca="1"/>
        <v>0</v>
      </c>
      <c r="E56" s="105">
        <f ca="1"/>
        <v>0</v>
      </c>
      <c r="F56" s="105">
        <f ca="1"/>
        <v>0</v>
      </c>
      <c r="G56" s="105">
        <f ca="1"/>
        <v>0</v>
      </c>
      <c r="H56" s="60"/>
      <c r="I56"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Consumables</v>
      </c>
      <c r="J56" s="60">
        <f>budgetMilestone1[[#This Row],[Milestone 1]]</f>
        <v>0</v>
      </c>
      <c r="K56" s="60">
        <f>budgetMilestone2[[#This Row],[Milestone 2]]</f>
        <v>0</v>
      </c>
      <c r="L56" s="60">
        <f>budgetMilestone3[[#This Row],[Milestone 3]]</f>
        <v>0</v>
      </c>
      <c r="M56" s="60">
        <f>budgetMilestone4[[#This Row],[Milestone 4]]</f>
        <v>0</v>
      </c>
      <c r="N56" s="60">
        <f>SUMIFS(ARF[Amount in Euro], ARF[Co Director],budgetFinal[director], ARF[Category], budgetFinal[Category], ARF[Date], "&gt;" &amp; cleanDateMilestone4,ARF[Date], "&lt;=" &amp; cleanDateFinal)</f>
        <v>0</v>
      </c>
      <c r="O56" s="60">
        <f>SUM(budgetFinal[[#This Row],[Milestone 1]:[Final]])</f>
        <v>0</v>
      </c>
      <c r="P56" s="60">
        <f>ROW()-ROW(budgetFinal[#Headers])</f>
        <v>39</v>
      </c>
      <c r="Q56" s="60">
        <f>IF(budgetFinal[row] &lt;= numCategories +3, budgetFinal[row]-1, MOD(budgetFinal[row]-1,numCategories+3) + IF(MOD(budgetFinal[row]-2,numCategories+2)&gt;numCategories+1, 1,0))</f>
        <v>5</v>
      </c>
      <c r="R56" s="60">
        <f>IFERROR(INDEX(directors[Last],MAX(1,FLOOR((budgetFinal[row]-1)/(numCategories+3)+1,1))),1)</f>
        <v>0</v>
      </c>
    </row>
    <row r="57" spans="1:18" ht="15" customHeight="1" x14ac:dyDescent="0.25">
      <c r="A57" s="105" t="str">
        <f ca="1"/>
        <v>Other</v>
      </c>
      <c r="B57" s="105">
        <f ca="1"/>
        <v>0</v>
      </c>
      <c r="C57" s="105">
        <f ca="1"/>
        <v>0</v>
      </c>
      <c r="D57" s="105">
        <f ca="1"/>
        <v>0</v>
      </c>
      <c r="E57" s="105">
        <f ca="1"/>
        <v>0</v>
      </c>
      <c r="F57" s="105">
        <f ca="1"/>
        <v>0</v>
      </c>
      <c r="G57" s="105">
        <f ca="1"/>
        <v>0</v>
      </c>
      <c r="H57" s="60"/>
      <c r="I57"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Other</v>
      </c>
      <c r="J57" s="60">
        <f>budgetMilestone1[[#This Row],[Milestone 1]]</f>
        <v>0</v>
      </c>
      <c r="K57" s="60">
        <f>budgetMilestone2[[#This Row],[Milestone 2]]</f>
        <v>0</v>
      </c>
      <c r="L57" s="60">
        <f>budgetMilestone3[[#This Row],[Milestone 3]]</f>
        <v>0</v>
      </c>
      <c r="M57" s="60">
        <f>budgetMilestone4[[#This Row],[Milestone 4]]</f>
        <v>0</v>
      </c>
      <c r="N57" s="60">
        <f>SUMIFS(ARF[Amount in Euro], ARF[Co Director],budgetFinal[director], ARF[Category], budgetFinal[Category], ARF[Date], "&gt;" &amp; cleanDateMilestone4,ARF[Date], "&lt;=" &amp; cleanDateFinal)</f>
        <v>0</v>
      </c>
      <c r="O57" s="60">
        <f>SUM(budgetFinal[[#This Row],[Milestone 1]:[Final]])</f>
        <v>0</v>
      </c>
      <c r="P57" s="60">
        <f>ROW()-ROW(budgetFinal[#Headers])</f>
        <v>40</v>
      </c>
      <c r="Q57" s="60">
        <f>IF(budgetFinal[row] &lt;= numCategories +3, budgetFinal[row]-1, MOD(budgetFinal[row]-1,numCategories+3) + IF(MOD(budgetFinal[row]-2,numCategories+2)&gt;numCategories+1, 1,0))</f>
        <v>6</v>
      </c>
      <c r="R57" s="60">
        <f>IFERROR(INDEX(directors[Last],MAX(1,FLOOR((budgetFinal[row]-1)/(numCategories+3)+1,1))),1)</f>
        <v>0</v>
      </c>
    </row>
    <row r="58" spans="1:18" ht="15" customHeight="1" x14ac:dyDescent="0.25">
      <c r="A58" s="105" t="str">
        <f ca="1"/>
        <v>Stipends</v>
      </c>
      <c r="B58" s="105">
        <f ca="1"/>
        <v>0</v>
      </c>
      <c r="C58" s="105">
        <f ca="1"/>
        <v>0</v>
      </c>
      <c r="D58" s="105">
        <f ca="1"/>
        <v>0</v>
      </c>
      <c r="E58" s="105">
        <f ca="1"/>
        <v>0</v>
      </c>
      <c r="F58" s="105">
        <f ca="1"/>
        <v>0</v>
      </c>
      <c r="G58" s="105">
        <f ca="1"/>
        <v>0</v>
      </c>
      <c r="H58" s="60"/>
      <c r="I58"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Stipends</v>
      </c>
      <c r="J58" s="60">
        <f>budgetMilestone1[[#This Row],[Milestone 1]]</f>
        <v>0</v>
      </c>
      <c r="K58" s="60">
        <f>budgetMilestone2[[#This Row],[Milestone 2]]</f>
        <v>0</v>
      </c>
      <c r="L58" s="60">
        <f>budgetMilestone3[[#This Row],[Milestone 3]]</f>
        <v>0</v>
      </c>
      <c r="M58" s="60">
        <f>budgetMilestone4[[#This Row],[Milestone 4]]</f>
        <v>0</v>
      </c>
      <c r="N58" s="60">
        <f>SUMIFS(ARF[Amount in Euro], ARF[Co Director],budgetFinal[director], ARF[Category], budgetFinal[Category], ARF[Date], "&gt;" &amp; cleanDateMilestone4,ARF[Date], "&lt;=" &amp; cleanDateFinal)</f>
        <v>0</v>
      </c>
      <c r="O58" s="60">
        <f>SUM(budgetFinal[[#This Row],[Milestone 1]:[Final]])</f>
        <v>0</v>
      </c>
      <c r="P58" s="60">
        <f>ROW()-ROW(budgetFinal[#Headers])</f>
        <v>41</v>
      </c>
      <c r="Q58" s="60">
        <f>IF(budgetFinal[row] &lt;= numCategories +3, budgetFinal[row]-1, MOD(budgetFinal[row]-1,numCategories+3) + IF(MOD(budgetFinal[row]-2,numCategories+2)&gt;numCategories+1, 1,0))</f>
        <v>7</v>
      </c>
      <c r="R58" s="60">
        <f>IFERROR(INDEX(directors[Last],MAX(1,FLOOR((budgetFinal[row]-1)/(numCategories+3)+1,1))),1)</f>
        <v>0</v>
      </c>
    </row>
    <row r="59" spans="1:18" ht="15" customHeight="1" x14ac:dyDescent="0.25">
      <c r="A59" s="105" t="str">
        <f ca="1"/>
        <v>Co-financing of personnel</v>
      </c>
      <c r="B59" s="105">
        <f ca="1"/>
        <v>0</v>
      </c>
      <c r="C59" s="105">
        <f ca="1"/>
        <v>0</v>
      </c>
      <c r="D59" s="105">
        <f ca="1"/>
        <v>0</v>
      </c>
      <c r="E59" s="105">
        <f ca="1"/>
        <v>0</v>
      </c>
      <c r="F59" s="105">
        <f ca="1"/>
        <v>0</v>
      </c>
      <c r="G59" s="105">
        <f ca="1"/>
        <v>0</v>
      </c>
      <c r="H59" s="60"/>
      <c r="I59"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Co-financing of personnel</v>
      </c>
      <c r="J59" s="60">
        <f>budgetMilestone1[[#This Row],[Milestone 1]]</f>
        <v>0</v>
      </c>
      <c r="K59" s="60">
        <f>budgetMilestone2[[#This Row],[Milestone 2]]</f>
        <v>0</v>
      </c>
      <c r="L59" s="60">
        <f>budgetMilestone3[[#This Row],[Milestone 3]]</f>
        <v>0</v>
      </c>
      <c r="M59" s="60">
        <f>budgetMilestone4[[#This Row],[Milestone 4]]</f>
        <v>0</v>
      </c>
      <c r="N59" s="60">
        <f>SUMIFS(ARF[Amount in Euro], ARF[Co Director],budgetFinal[director], ARF[Category], budgetFinal[Category], ARF[Date], "&gt;" &amp; cleanDateMilestone4,ARF[Date], "&lt;=" &amp; cleanDateFinal)</f>
        <v>0</v>
      </c>
      <c r="O59" s="60">
        <f>SUM(budgetFinal[[#This Row],[Milestone 1]:[Final]])</f>
        <v>0</v>
      </c>
      <c r="P59" s="60">
        <f>ROW()-ROW(budgetFinal[#Headers])</f>
        <v>42</v>
      </c>
      <c r="Q59" s="60">
        <f>IF(budgetFinal[row] &lt;= numCategories +3, budgetFinal[row]-1, MOD(budgetFinal[row]-1,numCategories+3) + IF(MOD(budgetFinal[row]-2,numCategories+2)&gt;numCategories+1, 1,0))</f>
        <v>8</v>
      </c>
      <c r="R59" s="60">
        <f>IFERROR(INDEX(directors[Last],MAX(1,FLOOR((budgetFinal[row]-1)/(numCategories+3)+1,1))),1)</f>
        <v>0</v>
      </c>
    </row>
    <row r="60" spans="1:18" ht="15" customHeight="1" x14ac:dyDescent="0.25">
      <c r="A60" s="105" t="str">
        <f ca="1"/>
        <v>Subtotal 0</v>
      </c>
      <c r="B60" s="105">
        <f ca="1"/>
        <v>0</v>
      </c>
      <c r="C60" s="105">
        <f ca="1"/>
        <v>0</v>
      </c>
      <c r="D60" s="105">
        <f ca="1"/>
        <v>0</v>
      </c>
      <c r="E60" s="105">
        <f ca="1"/>
        <v>0</v>
      </c>
      <c r="F60" s="105">
        <f ca="1"/>
        <v>0</v>
      </c>
      <c r="G60" s="105">
        <f ca="1"/>
        <v>0</v>
      </c>
      <c r="H60" s="60"/>
      <c r="I60"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Subtotal 0</v>
      </c>
      <c r="J60" s="60">
        <f>budgetMilestone1[[#This Row],[Milestone 1]]</f>
        <v>0</v>
      </c>
      <c r="K60" s="60">
        <f>budgetMilestone2[[#This Row],[Milestone 2]]</f>
        <v>0</v>
      </c>
      <c r="L60" s="60">
        <f>budgetMilestone3[[#This Row],[Milestone 3]]</f>
        <v>0</v>
      </c>
      <c r="M60" s="60">
        <f>budgetMilestone4[[#This Row],[Milestone 4]]</f>
        <v>0</v>
      </c>
      <c r="N60" s="60">
        <f>SUBTOTAL(9,N52:N59)</f>
        <v>0</v>
      </c>
      <c r="O60" s="60">
        <f t="shared" ref="O60" si="2">SUBTOTAL(9,O52:O59)</f>
        <v>0</v>
      </c>
      <c r="P60" s="60">
        <f>ROW()-ROW(budgetFinal[#Headers])</f>
        <v>43</v>
      </c>
      <c r="Q60" s="60">
        <f>IF(budgetFinal[row] &lt;= numCategories +3, budgetFinal[row]-1, MOD(budgetFinal[row]-1,numCategories+3) + IF(MOD(budgetFinal[row]-2,numCategories+2)&gt;numCategories+1, 1,0))</f>
        <v>9</v>
      </c>
      <c r="R60" s="60">
        <f>IFERROR(INDEX(directors[Last],MAX(1,FLOOR((budgetFinal[row]-1)/(numCategories+3)+1,1))),1)</f>
        <v>0</v>
      </c>
    </row>
    <row r="61" spans="1:18" ht="15" customHeight="1" x14ac:dyDescent="0.25">
      <c r="A61" s="105" t="str">
        <f ca="1"/>
        <v/>
      </c>
      <c r="B61" s="105">
        <f ca="1"/>
        <v>0</v>
      </c>
      <c r="C61" s="105">
        <f ca="1"/>
        <v>0</v>
      </c>
      <c r="D61" s="105">
        <f ca="1"/>
        <v>0</v>
      </c>
      <c r="E61" s="105">
        <f ca="1"/>
        <v>0</v>
      </c>
      <c r="F61" s="105">
        <f ca="1"/>
        <v>0</v>
      </c>
      <c r="G61" s="105">
        <f ca="1"/>
        <v>0</v>
      </c>
      <c r="H61" s="60"/>
      <c r="I61"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c>
      <c r="J61" s="60">
        <f>budgetMilestone1[[#This Row],[Milestone 1]]</f>
        <v>0</v>
      </c>
      <c r="K61" s="60">
        <f>budgetMilestone2[[#This Row],[Milestone 2]]</f>
        <v>0</v>
      </c>
      <c r="L61" s="60">
        <f>budgetMilestone3[[#This Row],[Milestone 3]]</f>
        <v>0</v>
      </c>
      <c r="M61" s="60">
        <f>budgetMilestone4[[#This Row],[Milestone 4]]</f>
        <v>0</v>
      </c>
      <c r="N61" s="60">
        <f>SUMIFS(ARF[Amount in Euro], ARF[Co Director],budgetFinal[director], ARF[Category], budgetFinal[Category], ARF[Date], "&gt;" &amp; cleanDateMilestone4,ARF[Date], "&lt;=" &amp; cleanDateFinal)</f>
        <v>0</v>
      </c>
      <c r="O61" s="60"/>
      <c r="P61" s="60">
        <f>ROW()-ROW(budgetFinal[#Headers])</f>
        <v>44</v>
      </c>
      <c r="Q61" s="60">
        <f>IF(budgetFinal[row] &lt;= numCategories +3, budgetFinal[row]-1, MOD(budgetFinal[row]-1,numCategories+3) + IF(MOD(budgetFinal[row]-2,numCategories+2)&gt;numCategories+1, 1,0))</f>
        <v>10</v>
      </c>
      <c r="R61" s="60">
        <f>IFERROR(INDEX(directors[Last],MAX(1,FLOOR((budgetFinal[row]-1)/(numCategories+3)+1,1))),1)</f>
        <v>0</v>
      </c>
    </row>
    <row r="62" spans="1:18" ht="15" customHeight="1" x14ac:dyDescent="0.25">
      <c r="A62" s="105" t="str">
        <f ca="1"/>
        <v xml:space="preserve">0 / </v>
      </c>
      <c r="B62" s="105">
        <f ca="1"/>
        <v>0</v>
      </c>
      <c r="C62" s="105">
        <f ca="1"/>
        <v>0</v>
      </c>
      <c r="D62" s="105">
        <f ca="1"/>
        <v>0</v>
      </c>
      <c r="E62" s="105">
        <f ca="1"/>
        <v>0</v>
      </c>
      <c r="F62" s="105">
        <f ca="1"/>
        <v>0</v>
      </c>
      <c r="G62" s="105">
        <f ca="1"/>
        <v>0</v>
      </c>
      <c r="H62" s="60"/>
      <c r="I62"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xml:space="preserve">0 / </v>
      </c>
      <c r="J62" s="60">
        <f>budgetMilestone1[[#This Row],[Milestone 1]]</f>
        <v>0</v>
      </c>
      <c r="K62" s="60">
        <f>budgetMilestone2[[#This Row],[Milestone 2]]</f>
        <v>0</v>
      </c>
      <c r="L62" s="60">
        <f>budgetMilestone3[[#This Row],[Milestone 3]]</f>
        <v>0</v>
      </c>
      <c r="M62" s="60">
        <f>budgetMilestone4[[#This Row],[Milestone 4]]</f>
        <v>0</v>
      </c>
      <c r="N62" s="60">
        <f>SUMIFS(ARF[Amount in Euro], ARF[Co Director],budgetFinal[director], ARF[Category], budgetFinal[Category], ARF[Date], "&gt;" &amp; cleanDateMilestone4,ARF[Date], "&lt;=" &amp; cleanDateFinal)</f>
        <v>0</v>
      </c>
      <c r="O62" s="60"/>
      <c r="P62" s="60">
        <f>ROW()-ROW(budgetFinal[#Headers])</f>
        <v>45</v>
      </c>
      <c r="Q62" s="60">
        <f>IF(budgetFinal[row] &lt;= numCategories +3, budgetFinal[row]-1, MOD(budgetFinal[row]-1,numCategories+3) + IF(MOD(budgetFinal[row]-2,numCategories+2)&gt;numCategories+1, 1,0))</f>
        <v>0</v>
      </c>
      <c r="R62" s="60">
        <f>IFERROR(INDEX(directors[Last],MAX(1,FLOOR((budgetFinal[row]-1)/(numCategories+3)+1,1))),1)</f>
        <v>0</v>
      </c>
    </row>
    <row r="63" spans="1:18" ht="15" customHeight="1" x14ac:dyDescent="0.25">
      <c r="A63" s="105" t="str">
        <f ca="1"/>
        <v>Equipment</v>
      </c>
      <c r="B63" s="105">
        <f ca="1"/>
        <v>0</v>
      </c>
      <c r="C63" s="105">
        <f ca="1"/>
        <v>0</v>
      </c>
      <c r="D63" s="105">
        <f ca="1"/>
        <v>0</v>
      </c>
      <c r="E63" s="105">
        <f ca="1"/>
        <v>0</v>
      </c>
      <c r="F63" s="105">
        <f ca="1"/>
        <v>0</v>
      </c>
      <c r="G63" s="105">
        <f ca="1"/>
        <v>0</v>
      </c>
      <c r="H63" s="60"/>
      <c r="I63"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Equipment</v>
      </c>
      <c r="J63" s="60">
        <f>budgetMilestone1[[#This Row],[Milestone 1]]</f>
        <v>0</v>
      </c>
      <c r="K63" s="60">
        <f>budgetMilestone2[[#This Row],[Milestone 2]]</f>
        <v>0</v>
      </c>
      <c r="L63" s="60">
        <f>budgetMilestone3[[#This Row],[Milestone 3]]</f>
        <v>0</v>
      </c>
      <c r="M63" s="60">
        <f>budgetMilestone4[[#This Row],[Milestone 4]]</f>
        <v>0</v>
      </c>
      <c r="N63" s="60">
        <f>SUMIFS(ARF[Amount in Euro], ARF[Co Director],budgetFinal[director], ARF[Category], budgetFinal[Category], ARF[Date], "&gt;" &amp; cleanDateMilestone4,ARF[Date], "&lt;=" &amp; cleanDateFinal)</f>
        <v>0</v>
      </c>
      <c r="O63" s="60">
        <f>SUM(budgetFinal[[#This Row],[Milestone 1]:[Final]])</f>
        <v>0</v>
      </c>
      <c r="P63" s="60">
        <f>ROW()-ROW(budgetFinal[#Headers])</f>
        <v>46</v>
      </c>
      <c r="Q63" s="60">
        <f>IF(budgetFinal[row] &lt;= numCategories +3, budgetFinal[row]-1, MOD(budgetFinal[row]-1,numCategories+3) + IF(MOD(budgetFinal[row]-2,numCategories+2)&gt;numCategories+1, 1,0))</f>
        <v>1</v>
      </c>
      <c r="R63" s="60">
        <f>IFERROR(INDEX(directors[Last],MAX(1,FLOOR((budgetFinal[row]-1)/(numCategories+3)+1,1))),1)</f>
        <v>0</v>
      </c>
    </row>
    <row r="64" spans="1:18" ht="15" customHeight="1" x14ac:dyDescent="0.25">
      <c r="A64" s="105" t="str">
        <f ca="1"/>
        <v>Training</v>
      </c>
      <c r="B64" s="105">
        <f ca="1"/>
        <v>0</v>
      </c>
      <c r="C64" s="105">
        <f ca="1"/>
        <v>0</v>
      </c>
      <c r="D64" s="105">
        <f ca="1"/>
        <v>0</v>
      </c>
      <c r="E64" s="105">
        <f ca="1"/>
        <v>0</v>
      </c>
      <c r="F64" s="105">
        <f ca="1"/>
        <v>0</v>
      </c>
      <c r="G64" s="105">
        <f ca="1"/>
        <v>0</v>
      </c>
      <c r="H64" s="60"/>
      <c r="I64"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Training</v>
      </c>
      <c r="J64" s="60">
        <f>budgetMilestone1[[#This Row],[Milestone 1]]</f>
        <v>0</v>
      </c>
      <c r="K64" s="60">
        <f>budgetMilestone2[[#This Row],[Milestone 2]]</f>
        <v>0</v>
      </c>
      <c r="L64" s="60">
        <f>budgetMilestone3[[#This Row],[Milestone 3]]</f>
        <v>0</v>
      </c>
      <c r="M64" s="60">
        <f>budgetMilestone4[[#This Row],[Milestone 4]]</f>
        <v>0</v>
      </c>
      <c r="N64" s="60">
        <f>SUMIFS(ARF[Amount in Euro], ARF[Co Director],budgetFinal[director], ARF[Category], budgetFinal[Category], ARF[Date], "&gt;" &amp; cleanDateMilestone4,ARF[Date], "&lt;=" &amp; cleanDateFinal)</f>
        <v>0</v>
      </c>
      <c r="O64" s="60">
        <f>SUM(budgetFinal[[#This Row],[Milestone 1]:[Final]])</f>
        <v>0</v>
      </c>
      <c r="P64" s="60">
        <f>ROW()-ROW(budgetFinal[#Headers])</f>
        <v>47</v>
      </c>
      <c r="Q64" s="60">
        <f>IF(budgetFinal[row] &lt;= numCategories +3, budgetFinal[row]-1, MOD(budgetFinal[row]-1,numCategories+3) + IF(MOD(budgetFinal[row]-2,numCategories+2)&gt;numCategories+1, 1,0))</f>
        <v>2</v>
      </c>
      <c r="R64" s="60">
        <f>IFERROR(INDEX(directors[Last],MAX(1,FLOOR((budgetFinal[row]-1)/(numCategories+3)+1,1))),1)</f>
        <v>0</v>
      </c>
    </row>
    <row r="65" spans="1:18" ht="15" customHeight="1" x14ac:dyDescent="0.25">
      <c r="A65" s="105" t="str">
        <f ca="1"/>
        <v>Communication &amp; Publication</v>
      </c>
      <c r="B65" s="105">
        <f ca="1"/>
        <v>0</v>
      </c>
      <c r="C65" s="105">
        <f ca="1"/>
        <v>0</v>
      </c>
      <c r="D65" s="105">
        <f ca="1"/>
        <v>0</v>
      </c>
      <c r="E65" s="105">
        <f ca="1"/>
        <v>0</v>
      </c>
      <c r="F65" s="105">
        <f ca="1"/>
        <v>0</v>
      </c>
      <c r="G65" s="105">
        <f ca="1"/>
        <v>0</v>
      </c>
      <c r="H65" s="60"/>
      <c r="I65"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Communication &amp; Publication</v>
      </c>
      <c r="J65" s="60">
        <f>budgetMilestone1[[#This Row],[Milestone 1]]</f>
        <v>0</v>
      </c>
      <c r="K65" s="60">
        <f>budgetMilestone2[[#This Row],[Milestone 2]]</f>
        <v>0</v>
      </c>
      <c r="L65" s="60">
        <f>budgetMilestone3[[#This Row],[Milestone 3]]</f>
        <v>0</v>
      </c>
      <c r="M65" s="60">
        <f>budgetMilestone4[[#This Row],[Milestone 4]]</f>
        <v>0</v>
      </c>
      <c r="N65" s="60">
        <f>SUMIFS(ARF[Amount in Euro], ARF[Co Director],budgetFinal[director], ARF[Category], budgetFinal[Category], ARF[Date], "&gt;" &amp; cleanDateMilestone4,ARF[Date], "&lt;=" &amp; cleanDateFinal)</f>
        <v>0</v>
      </c>
      <c r="O65" s="60">
        <f>SUM(budgetFinal[[#This Row],[Milestone 1]:[Final]])</f>
        <v>0</v>
      </c>
      <c r="P65" s="60">
        <f>ROW()-ROW(budgetFinal[#Headers])</f>
        <v>48</v>
      </c>
      <c r="Q65" s="60">
        <f>IF(budgetFinal[row] &lt;= numCategories +3, budgetFinal[row]-1, MOD(budgetFinal[row]-1,numCategories+3) + IF(MOD(budgetFinal[row]-2,numCategories+2)&gt;numCategories+1, 1,0))</f>
        <v>3</v>
      </c>
      <c r="R65" s="60">
        <f>IFERROR(INDEX(directors[Last],MAX(1,FLOOR((budgetFinal[row]-1)/(numCategories+3)+1,1))),1)</f>
        <v>0</v>
      </c>
    </row>
    <row r="66" spans="1:18" ht="15" customHeight="1" x14ac:dyDescent="0.25">
      <c r="A66" s="105" t="str">
        <f ca="1"/>
        <v>Travel</v>
      </c>
      <c r="B66" s="105">
        <f ca="1"/>
        <v>0</v>
      </c>
      <c r="C66" s="105">
        <f ca="1"/>
        <v>0</v>
      </c>
      <c r="D66" s="105">
        <f ca="1"/>
        <v>0</v>
      </c>
      <c r="E66" s="105">
        <f ca="1"/>
        <v>0</v>
      </c>
      <c r="F66" s="105">
        <f ca="1"/>
        <v>0</v>
      </c>
      <c r="G66" s="105">
        <f ca="1"/>
        <v>0</v>
      </c>
      <c r="H66" s="60"/>
      <c r="I66"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Travel</v>
      </c>
      <c r="J66" s="60">
        <f>budgetMilestone1[[#This Row],[Milestone 1]]</f>
        <v>0</v>
      </c>
      <c r="K66" s="60">
        <f>budgetMilestone2[[#This Row],[Milestone 2]]</f>
        <v>0</v>
      </c>
      <c r="L66" s="60">
        <f>budgetMilestone3[[#This Row],[Milestone 3]]</f>
        <v>0</v>
      </c>
      <c r="M66" s="60">
        <f>budgetMilestone4[[#This Row],[Milestone 4]]</f>
        <v>0</v>
      </c>
      <c r="N66" s="60">
        <f>SUMIFS(ARF[Amount in Euro], ARF[Co Director],budgetFinal[director], ARF[Category], budgetFinal[Category], ARF[Date], "&gt;" &amp; cleanDateMilestone4,ARF[Date], "&lt;=" &amp; cleanDateFinal)</f>
        <v>0</v>
      </c>
      <c r="O66" s="60">
        <f>SUM(budgetFinal[[#This Row],[Milestone 1]:[Final]])</f>
        <v>0</v>
      </c>
      <c r="P66" s="60">
        <f>ROW()-ROW(budgetFinal[#Headers])</f>
        <v>49</v>
      </c>
      <c r="Q66" s="60">
        <f>IF(budgetFinal[row] &lt;= numCategories +3, budgetFinal[row]-1, MOD(budgetFinal[row]-1,numCategories+3) + IF(MOD(budgetFinal[row]-2,numCategories+2)&gt;numCategories+1, 1,0))</f>
        <v>4</v>
      </c>
      <c r="R66" s="60">
        <f>IFERROR(INDEX(directors[Last],MAX(1,FLOOR((budgetFinal[row]-1)/(numCategories+3)+1,1))),1)</f>
        <v>0</v>
      </c>
    </row>
    <row r="67" spans="1:18" ht="15" customHeight="1" x14ac:dyDescent="0.25">
      <c r="A67" s="105" t="str">
        <f ca="1"/>
        <v>Consumables</v>
      </c>
      <c r="B67" s="105">
        <f ca="1"/>
        <v>0</v>
      </c>
      <c r="C67" s="105">
        <f ca="1"/>
        <v>0</v>
      </c>
      <c r="D67" s="105">
        <f ca="1"/>
        <v>0</v>
      </c>
      <c r="E67" s="105">
        <f ca="1"/>
        <v>0</v>
      </c>
      <c r="F67" s="105">
        <f ca="1"/>
        <v>0</v>
      </c>
      <c r="G67" s="105">
        <f ca="1"/>
        <v>0</v>
      </c>
      <c r="H67" s="60"/>
      <c r="I67"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Consumables</v>
      </c>
      <c r="J67" s="60">
        <f>budgetMilestone1[[#This Row],[Milestone 1]]</f>
        <v>0</v>
      </c>
      <c r="K67" s="60">
        <f>budgetMilestone2[[#This Row],[Milestone 2]]</f>
        <v>0</v>
      </c>
      <c r="L67" s="60">
        <f>budgetMilestone3[[#This Row],[Milestone 3]]</f>
        <v>0</v>
      </c>
      <c r="M67" s="60">
        <f>budgetMilestone4[[#This Row],[Milestone 4]]</f>
        <v>0</v>
      </c>
      <c r="N67" s="60">
        <f>SUMIFS(ARF[Amount in Euro], ARF[Co Director],budgetFinal[director], ARF[Category], budgetFinal[Category], ARF[Date], "&gt;" &amp; cleanDateMilestone4,ARF[Date], "&lt;=" &amp; cleanDateFinal)</f>
        <v>0</v>
      </c>
      <c r="O67" s="60">
        <f>SUM(budgetFinal[[#This Row],[Milestone 1]:[Final]])</f>
        <v>0</v>
      </c>
      <c r="P67" s="60">
        <f>ROW()-ROW(budgetFinal[#Headers])</f>
        <v>50</v>
      </c>
      <c r="Q67" s="60">
        <f>IF(budgetFinal[row] &lt;= numCategories +3, budgetFinal[row]-1, MOD(budgetFinal[row]-1,numCategories+3) + IF(MOD(budgetFinal[row]-2,numCategories+2)&gt;numCategories+1, 1,0))</f>
        <v>5</v>
      </c>
      <c r="R67" s="60">
        <f>IFERROR(INDEX(directors[Last],MAX(1,FLOOR((budgetFinal[row]-1)/(numCategories+3)+1,1))),1)</f>
        <v>0</v>
      </c>
    </row>
    <row r="68" spans="1:18" ht="15" customHeight="1" x14ac:dyDescent="0.25">
      <c r="A68" s="105" t="str">
        <f ca="1"/>
        <v>Other</v>
      </c>
      <c r="B68" s="105">
        <f ca="1"/>
        <v>0</v>
      </c>
      <c r="C68" s="105">
        <f ca="1"/>
        <v>0</v>
      </c>
      <c r="D68" s="105">
        <f ca="1"/>
        <v>0</v>
      </c>
      <c r="E68" s="105">
        <f ca="1"/>
        <v>0</v>
      </c>
      <c r="F68" s="105">
        <f ca="1"/>
        <v>0</v>
      </c>
      <c r="G68" s="105">
        <f ca="1"/>
        <v>0</v>
      </c>
      <c r="H68" s="60"/>
      <c r="I68"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Other</v>
      </c>
      <c r="J68" s="60">
        <f>budgetMilestone1[[#This Row],[Milestone 1]]</f>
        <v>0</v>
      </c>
      <c r="K68" s="60">
        <f>budgetMilestone2[[#This Row],[Milestone 2]]</f>
        <v>0</v>
      </c>
      <c r="L68" s="60">
        <f>budgetMilestone3[[#This Row],[Milestone 3]]</f>
        <v>0</v>
      </c>
      <c r="M68" s="60">
        <f>budgetMilestone4[[#This Row],[Milestone 4]]</f>
        <v>0</v>
      </c>
      <c r="N68" s="60">
        <f>SUMIFS(ARF[Amount in Euro], ARF[Co Director],budgetFinal[director], ARF[Category], budgetFinal[Category], ARF[Date], "&gt;" &amp; cleanDateMilestone4,ARF[Date], "&lt;=" &amp; cleanDateFinal)</f>
        <v>0</v>
      </c>
      <c r="O68" s="60">
        <f>SUM(budgetFinal[[#This Row],[Milestone 1]:[Final]])</f>
        <v>0</v>
      </c>
      <c r="P68" s="60">
        <f>ROW()-ROW(budgetFinal[#Headers])</f>
        <v>51</v>
      </c>
      <c r="Q68" s="60">
        <f>IF(budgetFinal[row] &lt;= numCategories +3, budgetFinal[row]-1, MOD(budgetFinal[row]-1,numCategories+3) + IF(MOD(budgetFinal[row]-2,numCategories+2)&gt;numCategories+1, 1,0))</f>
        <v>6</v>
      </c>
      <c r="R68" s="60">
        <f>IFERROR(INDEX(directors[Last],MAX(1,FLOOR((budgetFinal[row]-1)/(numCategories+3)+1,1))),1)</f>
        <v>0</v>
      </c>
    </row>
    <row r="69" spans="1:18" ht="15" customHeight="1" x14ac:dyDescent="0.25">
      <c r="A69" s="105" t="str">
        <f ca="1"/>
        <v>Stipends</v>
      </c>
      <c r="B69" s="105">
        <f ca="1"/>
        <v>0</v>
      </c>
      <c r="C69" s="105">
        <f ca="1"/>
        <v>0</v>
      </c>
      <c r="D69" s="105">
        <f ca="1"/>
        <v>0</v>
      </c>
      <c r="E69" s="105">
        <f ca="1"/>
        <v>0</v>
      </c>
      <c r="F69" s="105">
        <f ca="1"/>
        <v>0</v>
      </c>
      <c r="G69" s="105">
        <f ca="1"/>
        <v>0</v>
      </c>
      <c r="H69" s="60"/>
      <c r="I69"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Stipends</v>
      </c>
      <c r="J69" s="60">
        <f>budgetMilestone1[[#This Row],[Milestone 1]]</f>
        <v>0</v>
      </c>
      <c r="K69" s="60">
        <f>budgetMilestone2[[#This Row],[Milestone 2]]</f>
        <v>0</v>
      </c>
      <c r="L69" s="60">
        <f>budgetMilestone3[[#This Row],[Milestone 3]]</f>
        <v>0</v>
      </c>
      <c r="M69" s="60">
        <f>budgetMilestone4[[#This Row],[Milestone 4]]</f>
        <v>0</v>
      </c>
      <c r="N69" s="60">
        <f>SUMIFS(ARF[Amount in Euro], ARF[Co Director],budgetFinal[director], ARF[Category], budgetFinal[Category], ARF[Date], "&gt;" &amp; cleanDateMilestone4,ARF[Date], "&lt;=" &amp; cleanDateFinal)</f>
        <v>0</v>
      </c>
      <c r="O69" s="60">
        <f>SUM(budgetFinal[[#This Row],[Milestone 1]:[Final]])</f>
        <v>0</v>
      </c>
      <c r="P69" s="60">
        <f>ROW()-ROW(budgetFinal[#Headers])</f>
        <v>52</v>
      </c>
      <c r="Q69" s="60">
        <f>IF(budgetFinal[row] &lt;= numCategories +3, budgetFinal[row]-1, MOD(budgetFinal[row]-1,numCategories+3) + IF(MOD(budgetFinal[row]-2,numCategories+2)&gt;numCategories+1, 1,0))</f>
        <v>7</v>
      </c>
      <c r="R69" s="60">
        <f>IFERROR(INDEX(directors[Last],MAX(1,FLOOR((budgetFinal[row]-1)/(numCategories+3)+1,1))),1)</f>
        <v>0</v>
      </c>
    </row>
    <row r="70" spans="1:18" ht="15" customHeight="1" x14ac:dyDescent="0.25">
      <c r="A70" s="105" t="str">
        <f ca="1"/>
        <v>Co-financing of personnel</v>
      </c>
      <c r="B70" s="105">
        <f ca="1"/>
        <v>0</v>
      </c>
      <c r="C70" s="105">
        <f ca="1"/>
        <v>0</v>
      </c>
      <c r="D70" s="105">
        <f ca="1"/>
        <v>0</v>
      </c>
      <c r="E70" s="105">
        <f ca="1"/>
        <v>0</v>
      </c>
      <c r="F70" s="105">
        <f ca="1"/>
        <v>0</v>
      </c>
      <c r="G70" s="105">
        <f ca="1"/>
        <v>0</v>
      </c>
      <c r="H70" s="60"/>
      <c r="I70"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Co-financing of personnel</v>
      </c>
      <c r="J70" s="60">
        <f>budgetMilestone1[[#This Row],[Milestone 1]]</f>
        <v>0</v>
      </c>
      <c r="K70" s="60">
        <f>budgetMilestone2[[#This Row],[Milestone 2]]</f>
        <v>0</v>
      </c>
      <c r="L70" s="60">
        <f>budgetMilestone3[[#This Row],[Milestone 3]]</f>
        <v>0</v>
      </c>
      <c r="M70" s="60">
        <f>budgetMilestone4[[#This Row],[Milestone 4]]</f>
        <v>0</v>
      </c>
      <c r="N70" s="60">
        <f>SUMIFS(ARF[Amount in Euro], ARF[Co Director],budgetFinal[director], ARF[Category], budgetFinal[Category], ARF[Date], "&gt;" &amp; cleanDateMilestone4,ARF[Date], "&lt;=" &amp; cleanDateFinal)</f>
        <v>0</v>
      </c>
      <c r="O70" s="60">
        <f>SUM(budgetFinal[[#This Row],[Milestone 1]:[Final]])</f>
        <v>0</v>
      </c>
      <c r="P70" s="60">
        <f>ROW()-ROW(budgetFinal[#Headers])</f>
        <v>53</v>
      </c>
      <c r="Q70" s="60">
        <f>IF(budgetFinal[row] &lt;= numCategories +3, budgetFinal[row]-1, MOD(budgetFinal[row]-1,numCategories+3) + IF(MOD(budgetFinal[row]-2,numCategories+2)&gt;numCategories+1, 1,0))</f>
        <v>8</v>
      </c>
      <c r="R70" s="60">
        <f>IFERROR(INDEX(directors[Last],MAX(1,FLOOR((budgetFinal[row]-1)/(numCategories+3)+1,1))),1)</f>
        <v>0</v>
      </c>
    </row>
    <row r="71" spans="1:18" ht="15" customHeight="1" x14ac:dyDescent="0.25">
      <c r="A71" s="105" t="str">
        <f ca="1"/>
        <v>Subtotal 0</v>
      </c>
      <c r="B71" s="105">
        <f ca="1"/>
        <v>0</v>
      </c>
      <c r="C71" s="105">
        <f ca="1"/>
        <v>0</v>
      </c>
      <c r="D71" s="105">
        <f ca="1"/>
        <v>0</v>
      </c>
      <c r="E71" s="105">
        <f ca="1"/>
        <v>0</v>
      </c>
      <c r="F71" s="105">
        <f ca="1"/>
        <v>0</v>
      </c>
      <c r="G71" s="105">
        <f ca="1"/>
        <v>0</v>
      </c>
      <c r="H71" s="60"/>
      <c r="I71"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Subtotal 0</v>
      </c>
      <c r="J71" s="60">
        <f>budgetMilestone1[[#This Row],[Milestone 1]]</f>
        <v>0</v>
      </c>
      <c r="K71" s="60">
        <f>budgetMilestone2[[#This Row],[Milestone 2]]</f>
        <v>0</v>
      </c>
      <c r="L71" s="60">
        <f>budgetMilestone3[[#This Row],[Milestone 3]]</f>
        <v>0</v>
      </c>
      <c r="M71" s="60">
        <f>budgetMilestone4[[#This Row],[Milestone 4]]</f>
        <v>0</v>
      </c>
      <c r="N71" s="60">
        <f t="shared" ref="N71:O71" si="3">SUBTOTAL(9,N63:N70)</f>
        <v>0</v>
      </c>
      <c r="O71" s="60">
        <f t="shared" si="3"/>
        <v>0</v>
      </c>
      <c r="P71" s="60">
        <f>ROW()-ROW(budgetFinal[#Headers])</f>
        <v>54</v>
      </c>
      <c r="Q71" s="60">
        <f>IF(budgetFinal[row] &lt;= numCategories +3, budgetFinal[row]-1, MOD(budgetFinal[row]-1,numCategories+3) + IF(MOD(budgetFinal[row]-2,numCategories+2)&gt;numCategories+1, 1,0))</f>
        <v>9</v>
      </c>
      <c r="R71" s="60">
        <f>IFERROR(INDEX(directors[Last],MAX(1,FLOOR((budgetFinal[row]-1)/(numCategories+3)+1,1))),1)</f>
        <v>0</v>
      </c>
    </row>
    <row r="72" spans="1:18" ht="15" customHeight="1" x14ac:dyDescent="0.25">
      <c r="A72" s="105" t="str">
        <f ca="1"/>
        <v/>
      </c>
      <c r="B72" s="105">
        <f ca="1"/>
        <v>0</v>
      </c>
      <c r="C72" s="105">
        <f ca="1"/>
        <v>0</v>
      </c>
      <c r="D72" s="105">
        <f ca="1"/>
        <v>0</v>
      </c>
      <c r="E72" s="105">
        <f ca="1"/>
        <v>0</v>
      </c>
      <c r="F72" s="105">
        <f ca="1"/>
        <v>0</v>
      </c>
      <c r="G72" s="105">
        <f ca="1"/>
        <v>0</v>
      </c>
      <c r="H72" s="60"/>
      <c r="I72"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c>
      <c r="J72" s="60">
        <f>budgetMilestone1[[#This Row],[Milestone 1]]</f>
        <v>0</v>
      </c>
      <c r="K72" s="60">
        <f>budgetMilestone2[[#This Row],[Milestone 2]]</f>
        <v>0</v>
      </c>
      <c r="L72" s="60">
        <f>budgetMilestone3[[#This Row],[Milestone 3]]</f>
        <v>0</v>
      </c>
      <c r="M72" s="60">
        <f>budgetMilestone4[[#This Row],[Milestone 4]]</f>
        <v>0</v>
      </c>
      <c r="N72" s="60">
        <f>SUMIFS(ARF[Amount in Euro], ARF[Co Director],budgetFinal[director], ARF[Category], budgetFinal[Category], ARF[Date], "&gt;" &amp; cleanDateMilestone4,ARF[Date], "&lt;=" &amp; cleanDateFinal)</f>
        <v>0</v>
      </c>
      <c r="O72" s="60"/>
      <c r="P72" s="60">
        <f>ROW()-ROW(budgetFinal[#Headers])</f>
        <v>55</v>
      </c>
      <c r="Q72" s="60">
        <f>IF(budgetFinal[row] &lt;= numCategories +3, budgetFinal[row]-1, MOD(budgetFinal[row]-1,numCategories+3) + IF(MOD(budgetFinal[row]-2,numCategories+2)&gt;numCategories+1, 1,0))</f>
        <v>10</v>
      </c>
      <c r="R72" s="60">
        <f>IFERROR(INDEX(directors[Last],MAX(1,FLOOR((budgetFinal[row]-1)/(numCategories+3)+1,1))),1)</f>
        <v>0</v>
      </c>
    </row>
    <row r="73" spans="1:18" ht="15" customHeight="1" x14ac:dyDescent="0.25">
      <c r="A73" s="105" t="str">
        <f ca="1"/>
        <v xml:space="preserve">0 / </v>
      </c>
      <c r="B73" s="105">
        <f ca="1"/>
        <v>0</v>
      </c>
      <c r="C73" s="105">
        <f ca="1"/>
        <v>0</v>
      </c>
      <c r="D73" s="105">
        <f ca="1"/>
        <v>0</v>
      </c>
      <c r="E73" s="105">
        <f ca="1"/>
        <v>0</v>
      </c>
      <c r="F73" s="105">
        <f ca="1"/>
        <v>0</v>
      </c>
      <c r="G73" s="105">
        <f ca="1"/>
        <v>0</v>
      </c>
      <c r="H73" s="60"/>
      <c r="I73"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xml:space="preserve">0 / </v>
      </c>
      <c r="J73" s="60">
        <f>budgetMilestone1[[#This Row],[Milestone 1]]</f>
        <v>0</v>
      </c>
      <c r="K73" s="60">
        <f>budgetMilestone2[[#This Row],[Milestone 2]]</f>
        <v>0</v>
      </c>
      <c r="L73" s="60">
        <f>budgetMilestone3[[#This Row],[Milestone 3]]</f>
        <v>0</v>
      </c>
      <c r="M73" s="60">
        <f>budgetMilestone4[[#This Row],[Milestone 4]]</f>
        <v>0</v>
      </c>
      <c r="N73" s="60">
        <f>SUMIFS(ARF[Amount in Euro], ARF[Co Director],budgetFinal[director], ARF[Category], budgetFinal[Category], ARF[Date], "&gt;" &amp; cleanDateMilestone4,ARF[Date], "&lt;=" &amp; cleanDateFinal)</f>
        <v>0</v>
      </c>
      <c r="O73" s="60"/>
      <c r="P73" s="60">
        <f>ROW()-ROW(budgetFinal[#Headers])</f>
        <v>56</v>
      </c>
      <c r="Q73" s="60">
        <f>IF(budgetFinal[row] &lt;= numCategories +3, budgetFinal[row]-1, MOD(budgetFinal[row]-1,numCategories+3) + IF(MOD(budgetFinal[row]-2,numCategories+2)&gt;numCategories+1, 1,0))</f>
        <v>0</v>
      </c>
      <c r="R73" s="60">
        <f>IFERROR(INDEX(directors[Last],MAX(1,FLOOR((budgetFinal[row]-1)/(numCategories+3)+1,1))),1)</f>
        <v>0</v>
      </c>
    </row>
    <row r="74" spans="1:18" ht="15" customHeight="1" x14ac:dyDescent="0.25">
      <c r="A74" s="105" t="str">
        <f ca="1"/>
        <v>Equipment</v>
      </c>
      <c r="B74" s="105">
        <f ca="1"/>
        <v>0</v>
      </c>
      <c r="C74" s="105">
        <f ca="1"/>
        <v>0</v>
      </c>
      <c r="D74" s="105">
        <f ca="1"/>
        <v>0</v>
      </c>
      <c r="E74" s="105">
        <f ca="1"/>
        <v>0</v>
      </c>
      <c r="F74" s="105">
        <f ca="1"/>
        <v>0</v>
      </c>
      <c r="G74" s="105">
        <f ca="1"/>
        <v>0</v>
      </c>
      <c r="H74" s="60"/>
      <c r="I74"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Equipment</v>
      </c>
      <c r="J74" s="60">
        <f>budgetMilestone1[[#This Row],[Milestone 1]]</f>
        <v>0</v>
      </c>
      <c r="K74" s="60">
        <f>budgetMilestone2[[#This Row],[Milestone 2]]</f>
        <v>0</v>
      </c>
      <c r="L74" s="60">
        <f>budgetMilestone3[[#This Row],[Milestone 3]]</f>
        <v>0</v>
      </c>
      <c r="M74" s="60">
        <f>budgetMilestone4[[#This Row],[Milestone 4]]</f>
        <v>0</v>
      </c>
      <c r="N74" s="60">
        <f>SUMIFS(ARF[Amount in Euro], ARF[Co Director],budgetFinal[director], ARF[Category], budgetFinal[Category], ARF[Date], "&gt;" &amp; cleanDateMilestone4,ARF[Date], "&lt;=" &amp; cleanDateFinal)</f>
        <v>0</v>
      </c>
      <c r="O74" s="60">
        <f>SUM(budgetFinal[[#This Row],[Milestone 1]:[Final]])</f>
        <v>0</v>
      </c>
      <c r="P74" s="60">
        <f>ROW()-ROW(budgetFinal[#Headers])</f>
        <v>57</v>
      </c>
      <c r="Q74" s="60">
        <f>IF(budgetFinal[row] &lt;= numCategories +3, budgetFinal[row]-1, MOD(budgetFinal[row]-1,numCategories+3) + IF(MOD(budgetFinal[row]-2,numCategories+2)&gt;numCategories+1, 1,0))</f>
        <v>1</v>
      </c>
      <c r="R74" s="60">
        <f>IFERROR(INDEX(directors[Last],MAX(1,FLOOR((budgetFinal[row]-1)/(numCategories+3)+1,1))),1)</f>
        <v>0</v>
      </c>
    </row>
    <row r="75" spans="1:18" ht="15" customHeight="1" x14ac:dyDescent="0.25">
      <c r="A75" s="105" t="str">
        <f ca="1"/>
        <v>Training</v>
      </c>
      <c r="B75" s="105">
        <f ca="1"/>
        <v>0</v>
      </c>
      <c r="C75" s="105">
        <f ca="1"/>
        <v>0</v>
      </c>
      <c r="D75" s="105">
        <f ca="1"/>
        <v>0</v>
      </c>
      <c r="E75" s="105">
        <f ca="1"/>
        <v>0</v>
      </c>
      <c r="F75" s="105">
        <f ca="1"/>
        <v>0</v>
      </c>
      <c r="G75" s="105">
        <f ca="1"/>
        <v>0</v>
      </c>
      <c r="H75" s="60"/>
      <c r="I75"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Training</v>
      </c>
      <c r="J75" s="60">
        <f>budgetMilestone1[[#This Row],[Milestone 1]]</f>
        <v>0</v>
      </c>
      <c r="K75" s="60">
        <f>budgetMilestone2[[#This Row],[Milestone 2]]</f>
        <v>0</v>
      </c>
      <c r="L75" s="60">
        <f>budgetMilestone3[[#This Row],[Milestone 3]]</f>
        <v>0</v>
      </c>
      <c r="M75" s="60">
        <f>budgetMilestone4[[#This Row],[Milestone 4]]</f>
        <v>0</v>
      </c>
      <c r="N75" s="60">
        <f>SUMIFS(ARF[Amount in Euro], ARF[Co Director],budgetFinal[director], ARF[Category], budgetFinal[Category], ARF[Date], "&gt;" &amp; cleanDateMilestone4,ARF[Date], "&lt;=" &amp; cleanDateFinal)</f>
        <v>0</v>
      </c>
      <c r="O75" s="60">
        <f>SUM(budgetFinal[[#This Row],[Milestone 1]:[Final]])</f>
        <v>0</v>
      </c>
      <c r="P75" s="60">
        <f>ROW()-ROW(budgetFinal[#Headers])</f>
        <v>58</v>
      </c>
      <c r="Q75" s="60">
        <f>IF(budgetFinal[row] &lt;= numCategories +3, budgetFinal[row]-1, MOD(budgetFinal[row]-1,numCategories+3) + IF(MOD(budgetFinal[row]-2,numCategories+2)&gt;numCategories+1, 1,0))</f>
        <v>2</v>
      </c>
      <c r="R75" s="60">
        <f>IFERROR(INDEX(directors[Last],MAX(1,FLOOR((budgetFinal[row]-1)/(numCategories+3)+1,1))),1)</f>
        <v>0</v>
      </c>
    </row>
    <row r="76" spans="1:18" ht="15" customHeight="1" x14ac:dyDescent="0.25">
      <c r="A76" s="105" t="str">
        <f ca="1"/>
        <v>Communication &amp; Publication</v>
      </c>
      <c r="B76" s="105">
        <f ca="1"/>
        <v>0</v>
      </c>
      <c r="C76" s="105">
        <f ca="1"/>
        <v>0</v>
      </c>
      <c r="D76" s="105">
        <f ca="1"/>
        <v>0</v>
      </c>
      <c r="E76" s="105">
        <f ca="1"/>
        <v>0</v>
      </c>
      <c r="F76" s="105">
        <f ca="1"/>
        <v>0</v>
      </c>
      <c r="G76" s="105">
        <f ca="1"/>
        <v>0</v>
      </c>
      <c r="H76" s="60"/>
      <c r="I76"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Communication &amp; Publication</v>
      </c>
      <c r="J76" s="60">
        <f>budgetMilestone1[[#This Row],[Milestone 1]]</f>
        <v>0</v>
      </c>
      <c r="K76" s="60">
        <f>budgetMilestone2[[#This Row],[Milestone 2]]</f>
        <v>0</v>
      </c>
      <c r="L76" s="60">
        <f>budgetMilestone3[[#This Row],[Milestone 3]]</f>
        <v>0</v>
      </c>
      <c r="M76" s="60">
        <f>budgetMilestone4[[#This Row],[Milestone 4]]</f>
        <v>0</v>
      </c>
      <c r="N76" s="60">
        <f>SUMIFS(ARF[Amount in Euro], ARF[Co Director],budgetFinal[director], ARF[Category], budgetFinal[Category], ARF[Date], "&gt;" &amp; cleanDateMilestone4,ARF[Date], "&lt;=" &amp; cleanDateFinal)</f>
        <v>0</v>
      </c>
      <c r="O76" s="60">
        <f>SUM(budgetFinal[[#This Row],[Milestone 1]:[Final]])</f>
        <v>0</v>
      </c>
      <c r="P76" s="60">
        <f>ROW()-ROW(budgetFinal[#Headers])</f>
        <v>59</v>
      </c>
      <c r="Q76" s="60">
        <f>IF(budgetFinal[row] &lt;= numCategories +3, budgetFinal[row]-1, MOD(budgetFinal[row]-1,numCategories+3) + IF(MOD(budgetFinal[row]-2,numCategories+2)&gt;numCategories+1, 1,0))</f>
        <v>3</v>
      </c>
      <c r="R76" s="60">
        <f>IFERROR(INDEX(directors[Last],MAX(1,FLOOR((budgetFinal[row]-1)/(numCategories+3)+1,1))),1)</f>
        <v>0</v>
      </c>
    </row>
    <row r="77" spans="1:18" ht="15" customHeight="1" x14ac:dyDescent="0.25">
      <c r="A77" s="105" t="str">
        <f ca="1"/>
        <v>Travel</v>
      </c>
      <c r="B77" s="105">
        <f ca="1"/>
        <v>0</v>
      </c>
      <c r="C77" s="105">
        <f ca="1"/>
        <v>0</v>
      </c>
      <c r="D77" s="105">
        <f ca="1"/>
        <v>0</v>
      </c>
      <c r="E77" s="105">
        <f ca="1"/>
        <v>0</v>
      </c>
      <c r="F77" s="105">
        <f ca="1"/>
        <v>0</v>
      </c>
      <c r="G77" s="105">
        <f ca="1"/>
        <v>0</v>
      </c>
      <c r="H77" s="60"/>
      <c r="I77"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Travel</v>
      </c>
      <c r="J77" s="60">
        <f>budgetMilestone1[[#This Row],[Milestone 1]]</f>
        <v>0</v>
      </c>
      <c r="K77" s="60">
        <f>budgetMilestone2[[#This Row],[Milestone 2]]</f>
        <v>0</v>
      </c>
      <c r="L77" s="60">
        <f>budgetMilestone3[[#This Row],[Milestone 3]]</f>
        <v>0</v>
      </c>
      <c r="M77" s="60">
        <f>budgetMilestone4[[#This Row],[Milestone 4]]</f>
        <v>0</v>
      </c>
      <c r="N77" s="60">
        <f>SUMIFS(ARF[Amount in Euro], ARF[Co Director],budgetFinal[director], ARF[Category], budgetFinal[Category], ARF[Date], "&gt;" &amp; cleanDateMilestone4,ARF[Date], "&lt;=" &amp; cleanDateFinal)</f>
        <v>0</v>
      </c>
      <c r="O77" s="60">
        <f>SUM(budgetFinal[[#This Row],[Milestone 1]:[Final]])</f>
        <v>0</v>
      </c>
      <c r="P77" s="60">
        <f>ROW()-ROW(budgetFinal[#Headers])</f>
        <v>60</v>
      </c>
      <c r="Q77" s="60">
        <f>IF(budgetFinal[row] &lt;= numCategories +3, budgetFinal[row]-1, MOD(budgetFinal[row]-1,numCategories+3) + IF(MOD(budgetFinal[row]-2,numCategories+2)&gt;numCategories+1, 1,0))</f>
        <v>4</v>
      </c>
      <c r="R77" s="60">
        <f>IFERROR(INDEX(directors[Last],MAX(1,FLOOR((budgetFinal[row]-1)/(numCategories+3)+1,1))),1)</f>
        <v>0</v>
      </c>
    </row>
    <row r="78" spans="1:18" ht="15" customHeight="1" x14ac:dyDescent="0.25">
      <c r="A78" s="105" t="str">
        <f ca="1"/>
        <v>Consumables</v>
      </c>
      <c r="B78" s="105">
        <f ca="1"/>
        <v>0</v>
      </c>
      <c r="C78" s="105">
        <f ca="1"/>
        <v>0</v>
      </c>
      <c r="D78" s="105">
        <f ca="1"/>
        <v>0</v>
      </c>
      <c r="E78" s="105">
        <f ca="1"/>
        <v>0</v>
      </c>
      <c r="F78" s="105">
        <f ca="1"/>
        <v>0</v>
      </c>
      <c r="G78" s="105">
        <f ca="1"/>
        <v>0</v>
      </c>
      <c r="H78" s="60"/>
      <c r="I78"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Consumables</v>
      </c>
      <c r="J78" s="60">
        <f>budgetMilestone1[[#This Row],[Milestone 1]]</f>
        <v>0</v>
      </c>
      <c r="K78" s="60">
        <f>budgetMilestone2[[#This Row],[Milestone 2]]</f>
        <v>0</v>
      </c>
      <c r="L78" s="60">
        <f>budgetMilestone3[[#This Row],[Milestone 3]]</f>
        <v>0</v>
      </c>
      <c r="M78" s="60">
        <f>budgetMilestone4[[#This Row],[Milestone 4]]</f>
        <v>0</v>
      </c>
      <c r="N78" s="60">
        <f>SUMIFS(ARF[Amount in Euro], ARF[Co Director],budgetFinal[director], ARF[Category], budgetFinal[Category], ARF[Date], "&gt;" &amp; cleanDateMilestone4,ARF[Date], "&lt;=" &amp; cleanDateFinal)</f>
        <v>0</v>
      </c>
      <c r="O78" s="60">
        <f>SUM(budgetFinal[[#This Row],[Milestone 1]:[Final]])</f>
        <v>0</v>
      </c>
      <c r="P78" s="60">
        <f>ROW()-ROW(budgetFinal[#Headers])</f>
        <v>61</v>
      </c>
      <c r="Q78" s="60">
        <f>IF(budgetFinal[row] &lt;= numCategories +3, budgetFinal[row]-1, MOD(budgetFinal[row]-1,numCategories+3) + IF(MOD(budgetFinal[row]-2,numCategories+2)&gt;numCategories+1, 1,0))</f>
        <v>5</v>
      </c>
      <c r="R78" s="60">
        <f>IFERROR(INDEX(directors[Last],MAX(1,FLOOR((budgetFinal[row]-1)/(numCategories+3)+1,1))),1)</f>
        <v>0</v>
      </c>
    </row>
    <row r="79" spans="1:18" ht="15" customHeight="1" x14ac:dyDescent="0.25">
      <c r="A79" s="105" t="str">
        <f ca="1"/>
        <v>Other</v>
      </c>
      <c r="B79" s="105">
        <f ca="1"/>
        <v>0</v>
      </c>
      <c r="C79" s="105">
        <f ca="1"/>
        <v>0</v>
      </c>
      <c r="D79" s="105">
        <f ca="1"/>
        <v>0</v>
      </c>
      <c r="E79" s="105">
        <f ca="1"/>
        <v>0</v>
      </c>
      <c r="F79" s="105">
        <f ca="1"/>
        <v>0</v>
      </c>
      <c r="G79" s="105">
        <f ca="1"/>
        <v>0</v>
      </c>
      <c r="H79" s="60"/>
      <c r="I79"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Other</v>
      </c>
      <c r="J79" s="60">
        <f>budgetMilestone1[[#This Row],[Milestone 1]]</f>
        <v>0</v>
      </c>
      <c r="K79" s="60">
        <f>budgetMilestone2[[#This Row],[Milestone 2]]</f>
        <v>0</v>
      </c>
      <c r="L79" s="60">
        <f>budgetMilestone3[[#This Row],[Milestone 3]]</f>
        <v>0</v>
      </c>
      <c r="M79" s="60">
        <f>budgetMilestone4[[#This Row],[Milestone 4]]</f>
        <v>0</v>
      </c>
      <c r="N79" s="60">
        <f>SUMIFS(ARF[Amount in Euro], ARF[Co Director],budgetFinal[director], ARF[Category], budgetFinal[Category], ARF[Date], "&gt;" &amp; cleanDateMilestone4,ARF[Date], "&lt;=" &amp; cleanDateFinal)</f>
        <v>0</v>
      </c>
      <c r="O79" s="60">
        <f>SUM(budgetFinal[[#This Row],[Milestone 1]:[Final]])</f>
        <v>0</v>
      </c>
      <c r="P79" s="60">
        <f>ROW()-ROW(budgetFinal[#Headers])</f>
        <v>62</v>
      </c>
      <c r="Q79" s="60">
        <f>IF(budgetFinal[row] &lt;= numCategories +3, budgetFinal[row]-1, MOD(budgetFinal[row]-1,numCategories+3) + IF(MOD(budgetFinal[row]-2,numCategories+2)&gt;numCategories+1, 1,0))</f>
        <v>6</v>
      </c>
      <c r="R79" s="60">
        <f>IFERROR(INDEX(directors[Last],MAX(1,FLOOR((budgetFinal[row]-1)/(numCategories+3)+1,1))),1)</f>
        <v>0</v>
      </c>
    </row>
    <row r="80" spans="1:18" ht="15" customHeight="1" x14ac:dyDescent="0.25">
      <c r="A80" s="105" t="str">
        <f ca="1"/>
        <v>Stipends</v>
      </c>
      <c r="B80" s="105">
        <f ca="1"/>
        <v>0</v>
      </c>
      <c r="C80" s="105">
        <f ca="1"/>
        <v>0</v>
      </c>
      <c r="D80" s="105">
        <f ca="1"/>
        <v>0</v>
      </c>
      <c r="E80" s="105">
        <f ca="1"/>
        <v>0</v>
      </c>
      <c r="F80" s="105">
        <f ca="1"/>
        <v>0</v>
      </c>
      <c r="G80" s="105">
        <f ca="1"/>
        <v>0</v>
      </c>
      <c r="H80" s="60"/>
      <c r="I80"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Stipends</v>
      </c>
      <c r="J80" s="60">
        <f>budgetMilestone1[[#This Row],[Milestone 1]]</f>
        <v>0</v>
      </c>
      <c r="K80" s="60">
        <f>budgetMilestone2[[#This Row],[Milestone 2]]</f>
        <v>0</v>
      </c>
      <c r="L80" s="60">
        <f>budgetMilestone3[[#This Row],[Milestone 3]]</f>
        <v>0</v>
      </c>
      <c r="M80" s="60">
        <f>budgetMilestone4[[#This Row],[Milestone 4]]</f>
        <v>0</v>
      </c>
      <c r="N80" s="60">
        <f>SUMIFS(ARF[Amount in Euro], ARF[Co Director],budgetFinal[director], ARF[Category], budgetFinal[Category], ARF[Date], "&gt;" &amp; cleanDateMilestone4,ARF[Date], "&lt;=" &amp; cleanDateFinal)</f>
        <v>0</v>
      </c>
      <c r="O80" s="60">
        <f>SUM(budgetFinal[[#This Row],[Milestone 1]:[Final]])</f>
        <v>0</v>
      </c>
      <c r="P80" s="60">
        <f>ROW()-ROW(budgetFinal[#Headers])</f>
        <v>63</v>
      </c>
      <c r="Q80" s="60">
        <f>IF(budgetFinal[row] &lt;= numCategories +3, budgetFinal[row]-1, MOD(budgetFinal[row]-1,numCategories+3) + IF(MOD(budgetFinal[row]-2,numCategories+2)&gt;numCategories+1, 1,0))</f>
        <v>7</v>
      </c>
      <c r="R80" s="60">
        <f>IFERROR(INDEX(directors[Last],MAX(1,FLOOR((budgetFinal[row]-1)/(numCategories+3)+1,1))),1)</f>
        <v>0</v>
      </c>
    </row>
    <row r="81" spans="1:18" ht="15" customHeight="1" x14ac:dyDescent="0.25">
      <c r="A81" s="105" t="str">
        <f ca="1"/>
        <v>Co-financing of personnel</v>
      </c>
      <c r="B81" s="105">
        <f ca="1"/>
        <v>0</v>
      </c>
      <c r="C81" s="105">
        <f ca="1"/>
        <v>0</v>
      </c>
      <c r="D81" s="105">
        <f ca="1"/>
        <v>0</v>
      </c>
      <c r="E81" s="105">
        <f ca="1"/>
        <v>0</v>
      </c>
      <c r="F81" s="105">
        <f ca="1"/>
        <v>0</v>
      </c>
      <c r="G81" s="105">
        <f ca="1"/>
        <v>0</v>
      </c>
      <c r="H81" s="60"/>
      <c r="I81"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Co-financing of personnel</v>
      </c>
      <c r="J81" s="60">
        <f>budgetMilestone1[[#This Row],[Milestone 1]]</f>
        <v>0</v>
      </c>
      <c r="K81" s="60">
        <f>budgetMilestone2[[#This Row],[Milestone 2]]</f>
        <v>0</v>
      </c>
      <c r="L81" s="60">
        <f>budgetMilestone3[[#This Row],[Milestone 3]]</f>
        <v>0</v>
      </c>
      <c r="M81" s="60">
        <f>budgetMilestone4[[#This Row],[Milestone 4]]</f>
        <v>0</v>
      </c>
      <c r="N81" s="60">
        <f>SUMIFS(ARF[Amount in Euro], ARF[Co Director],budgetFinal[director], ARF[Category], budgetFinal[Category], ARF[Date], "&gt;" &amp; cleanDateMilestone4,ARF[Date], "&lt;=" &amp; cleanDateFinal)</f>
        <v>0</v>
      </c>
      <c r="O81" s="60">
        <f>SUM(budgetFinal[[#This Row],[Milestone 1]:[Final]])</f>
        <v>0</v>
      </c>
      <c r="P81" s="60">
        <f>ROW()-ROW(budgetFinal[#Headers])</f>
        <v>64</v>
      </c>
      <c r="Q81" s="60">
        <f>IF(budgetFinal[row] &lt;= numCategories +3, budgetFinal[row]-1, MOD(budgetFinal[row]-1,numCategories+3) + IF(MOD(budgetFinal[row]-2,numCategories+2)&gt;numCategories+1, 1,0))</f>
        <v>8</v>
      </c>
      <c r="R81" s="60">
        <f>IFERROR(INDEX(directors[Last],MAX(1,FLOOR((budgetFinal[row]-1)/(numCategories+3)+1,1))),1)</f>
        <v>0</v>
      </c>
    </row>
    <row r="82" spans="1:18" ht="15" customHeight="1" x14ac:dyDescent="0.25">
      <c r="A82" s="105" t="str">
        <f ca="1"/>
        <v>Subtotal 0</v>
      </c>
      <c r="B82" s="105">
        <f ca="1"/>
        <v>0</v>
      </c>
      <c r="C82" s="105">
        <f ca="1"/>
        <v>0</v>
      </c>
      <c r="D82" s="105">
        <f ca="1"/>
        <v>0</v>
      </c>
      <c r="E82" s="105">
        <f ca="1"/>
        <v>0</v>
      </c>
      <c r="F82" s="105">
        <f ca="1"/>
        <v>0</v>
      </c>
      <c r="G82" s="105">
        <f ca="1"/>
        <v>0</v>
      </c>
      <c r="H82" s="60"/>
      <c r="I82"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Subtotal 0</v>
      </c>
      <c r="J82" s="60">
        <f>budgetMilestone1[[#This Row],[Milestone 1]]</f>
        <v>0</v>
      </c>
      <c r="K82" s="60">
        <f>budgetMilestone2[[#This Row],[Milestone 2]]</f>
        <v>0</v>
      </c>
      <c r="L82" s="60">
        <f>budgetMilestone3[[#This Row],[Milestone 3]]</f>
        <v>0</v>
      </c>
      <c r="M82" s="60">
        <f>budgetMilestone4[[#This Row],[Milestone 4]]</f>
        <v>0</v>
      </c>
      <c r="N82" s="60">
        <f t="shared" ref="N82:O82" si="4">SUBTOTAL(9,N74:N81)</f>
        <v>0</v>
      </c>
      <c r="O82" s="60">
        <f t="shared" si="4"/>
        <v>0</v>
      </c>
      <c r="P82" s="60">
        <f>ROW()-ROW(budgetFinal[#Headers])</f>
        <v>65</v>
      </c>
      <c r="Q82" s="60">
        <f>IF(budgetFinal[row] &lt;= numCategories +3, budgetFinal[row]-1, MOD(budgetFinal[row]-1,numCategories+3) + IF(MOD(budgetFinal[row]-2,numCategories+2)&gt;numCategories+1, 1,0))</f>
        <v>9</v>
      </c>
      <c r="R82" s="60">
        <f>IFERROR(INDEX(directors[Last],MAX(1,FLOOR((budgetFinal[row]-1)/(numCategories+3)+1,1))),1)</f>
        <v>0</v>
      </c>
    </row>
    <row r="83" spans="1:18" ht="15" customHeight="1" x14ac:dyDescent="0.25">
      <c r="A83" s="105" t="str">
        <f ca="1"/>
        <v/>
      </c>
      <c r="B83" s="105">
        <f ca="1"/>
        <v>0</v>
      </c>
      <c r="C83" s="105">
        <f ca="1"/>
        <v>0</v>
      </c>
      <c r="D83" s="105">
        <f ca="1"/>
        <v>0</v>
      </c>
      <c r="E83" s="105">
        <f ca="1"/>
        <v>0</v>
      </c>
      <c r="F83" s="105">
        <f ca="1"/>
        <v>0</v>
      </c>
      <c r="G83" s="105">
        <f ca="1"/>
        <v>0</v>
      </c>
      <c r="H83" s="60"/>
      <c r="I83"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c>
      <c r="J83" s="60">
        <f>budgetMilestone1[[#This Row],[Milestone 1]]</f>
        <v>0</v>
      </c>
      <c r="K83" s="60">
        <f>budgetMilestone2[[#This Row],[Milestone 2]]</f>
        <v>0</v>
      </c>
      <c r="L83" s="60">
        <f>budgetMilestone3[[#This Row],[Milestone 3]]</f>
        <v>0</v>
      </c>
      <c r="M83" s="60">
        <f>budgetMilestone4[[#This Row],[Milestone 4]]</f>
        <v>0</v>
      </c>
      <c r="N83" s="60">
        <f>SUMIFS(ARF[Amount in Euro], ARF[Co Director],budgetFinal[director], ARF[Category], budgetFinal[Category], ARF[Date], "&gt;" &amp; cleanDateMilestone4,ARF[Date], "&lt;=" &amp; cleanDateFinal)</f>
        <v>0</v>
      </c>
      <c r="O83" s="60"/>
      <c r="P83" s="60">
        <f>ROW()-ROW(budgetFinal[#Headers])</f>
        <v>66</v>
      </c>
      <c r="Q83" s="60">
        <f>IF(budgetFinal[row] &lt;= numCategories +3, budgetFinal[row]-1, MOD(budgetFinal[row]-1,numCategories+3) + IF(MOD(budgetFinal[row]-2,numCategories+2)&gt;numCategories+1, 1,0))</f>
        <v>10</v>
      </c>
      <c r="R83" s="60">
        <f>IFERROR(INDEX(directors[Last],MAX(1,FLOOR((budgetFinal[row]-1)/(numCategories+3)+1,1))),1)</f>
        <v>0</v>
      </c>
    </row>
    <row r="84" spans="1:18" ht="15" customHeight="1" x14ac:dyDescent="0.25">
      <c r="A84" s="105" t="str">
        <f ca="1"/>
        <v xml:space="preserve">0 / </v>
      </c>
      <c r="B84" s="105">
        <f ca="1"/>
        <v>0</v>
      </c>
      <c r="C84" s="105">
        <f ca="1"/>
        <v>0</v>
      </c>
      <c r="D84" s="105">
        <f ca="1"/>
        <v>0</v>
      </c>
      <c r="E84" s="105">
        <f ca="1"/>
        <v>0</v>
      </c>
      <c r="F84" s="105">
        <f ca="1"/>
        <v>0</v>
      </c>
      <c r="G84" s="105">
        <f ca="1"/>
        <v>0</v>
      </c>
      <c r="H84" s="60"/>
      <c r="I84"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xml:space="preserve">0 / </v>
      </c>
      <c r="J84" s="60">
        <f>budgetMilestone1[[#This Row],[Milestone 1]]</f>
        <v>0</v>
      </c>
      <c r="K84" s="60">
        <f>budgetMilestone2[[#This Row],[Milestone 2]]</f>
        <v>0</v>
      </c>
      <c r="L84" s="60">
        <f>budgetMilestone3[[#This Row],[Milestone 3]]</f>
        <v>0</v>
      </c>
      <c r="M84" s="60">
        <f>budgetMilestone4[[#This Row],[Milestone 4]]</f>
        <v>0</v>
      </c>
      <c r="N84" s="60">
        <f>SUMIFS(ARF[Amount in Euro], ARF[Co Director],budgetFinal[director], ARF[Category], budgetFinal[Category], ARF[Date], "&gt;" &amp; cleanDateMilestone4,ARF[Date], "&lt;=" &amp; cleanDateFinal)</f>
        <v>0</v>
      </c>
      <c r="O84" s="60"/>
      <c r="P84" s="60">
        <f>ROW()-ROW(budgetFinal[#Headers])</f>
        <v>67</v>
      </c>
      <c r="Q84" s="60">
        <f>IF(budgetFinal[row] &lt;= numCategories +3, budgetFinal[row]-1, MOD(budgetFinal[row]-1,numCategories+3) + IF(MOD(budgetFinal[row]-2,numCategories+2)&gt;numCategories+1, 1,0))</f>
        <v>0</v>
      </c>
      <c r="R84" s="60">
        <f>IFERROR(INDEX(directors[Last],MAX(1,FLOOR((budgetFinal[row]-1)/(numCategories+3)+1,1))),1)</f>
        <v>0</v>
      </c>
    </row>
    <row r="85" spans="1:18" ht="15" customHeight="1" x14ac:dyDescent="0.25">
      <c r="A85" s="105" t="str">
        <f ca="1"/>
        <v>Equipment</v>
      </c>
      <c r="B85" s="105">
        <f ca="1"/>
        <v>0</v>
      </c>
      <c r="C85" s="105">
        <f ca="1"/>
        <v>0</v>
      </c>
      <c r="D85" s="105">
        <f ca="1"/>
        <v>0</v>
      </c>
      <c r="E85" s="105">
        <f ca="1"/>
        <v>0</v>
      </c>
      <c r="F85" s="105">
        <f ca="1"/>
        <v>0</v>
      </c>
      <c r="G85" s="105">
        <f ca="1"/>
        <v>0</v>
      </c>
      <c r="H85" s="60"/>
      <c r="I85"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Equipment</v>
      </c>
      <c r="J85" s="60">
        <f>budgetMilestone1[[#This Row],[Milestone 1]]</f>
        <v>0</v>
      </c>
      <c r="K85" s="60">
        <f>budgetMilestone2[[#This Row],[Milestone 2]]</f>
        <v>0</v>
      </c>
      <c r="L85" s="60">
        <f>budgetMilestone3[[#This Row],[Milestone 3]]</f>
        <v>0</v>
      </c>
      <c r="M85" s="60">
        <f>budgetMilestone4[[#This Row],[Milestone 4]]</f>
        <v>0</v>
      </c>
      <c r="N85" s="60">
        <f>SUMIFS(ARF[Amount in Euro], ARF[Co Director],budgetFinal[director], ARF[Category], budgetFinal[Category], ARF[Date], "&gt;" &amp; cleanDateMilestone4,ARF[Date], "&lt;=" &amp; cleanDateFinal)</f>
        <v>0</v>
      </c>
      <c r="O85" s="60">
        <f>SUM(budgetFinal[[#This Row],[Milestone 1]:[Final]])</f>
        <v>0</v>
      </c>
      <c r="P85" s="60">
        <f>ROW()-ROW(budgetFinal[#Headers])</f>
        <v>68</v>
      </c>
      <c r="Q85" s="60">
        <f>IF(budgetFinal[row] &lt;= numCategories +3, budgetFinal[row]-1, MOD(budgetFinal[row]-1,numCategories+3) + IF(MOD(budgetFinal[row]-2,numCategories+2)&gt;numCategories+1, 1,0))</f>
        <v>1</v>
      </c>
      <c r="R85" s="60">
        <f>IFERROR(INDEX(directors[Last],MAX(1,FLOOR((budgetFinal[row]-1)/(numCategories+3)+1,1))),1)</f>
        <v>0</v>
      </c>
    </row>
    <row r="86" spans="1:18" ht="15" customHeight="1" x14ac:dyDescent="0.25">
      <c r="A86" s="105" t="str">
        <f ca="1"/>
        <v>Training</v>
      </c>
      <c r="B86" s="105">
        <f ca="1"/>
        <v>0</v>
      </c>
      <c r="C86" s="105">
        <f ca="1"/>
        <v>0</v>
      </c>
      <c r="D86" s="105">
        <f ca="1"/>
        <v>0</v>
      </c>
      <c r="E86" s="105">
        <f ca="1"/>
        <v>0</v>
      </c>
      <c r="F86" s="105">
        <f ca="1"/>
        <v>0</v>
      </c>
      <c r="G86" s="105">
        <f ca="1"/>
        <v>0</v>
      </c>
      <c r="H86" s="60"/>
      <c r="I86"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Training</v>
      </c>
      <c r="J86" s="60">
        <f>budgetMilestone1[[#This Row],[Milestone 1]]</f>
        <v>0</v>
      </c>
      <c r="K86" s="60">
        <f>budgetMilestone2[[#This Row],[Milestone 2]]</f>
        <v>0</v>
      </c>
      <c r="L86" s="60">
        <f>budgetMilestone3[[#This Row],[Milestone 3]]</f>
        <v>0</v>
      </c>
      <c r="M86" s="60">
        <f>budgetMilestone4[[#This Row],[Milestone 4]]</f>
        <v>0</v>
      </c>
      <c r="N86" s="60">
        <f>SUMIFS(ARF[Amount in Euro], ARF[Co Director],budgetFinal[director], ARF[Category], budgetFinal[Category], ARF[Date], "&gt;" &amp; cleanDateMilestone4,ARF[Date], "&lt;=" &amp; cleanDateFinal)</f>
        <v>0</v>
      </c>
      <c r="O86" s="60">
        <f>SUM(budgetFinal[[#This Row],[Milestone 1]:[Final]])</f>
        <v>0</v>
      </c>
      <c r="P86" s="60">
        <f>ROW()-ROW(budgetFinal[#Headers])</f>
        <v>69</v>
      </c>
      <c r="Q86" s="60">
        <f>IF(budgetFinal[row] &lt;= numCategories +3, budgetFinal[row]-1, MOD(budgetFinal[row]-1,numCategories+3) + IF(MOD(budgetFinal[row]-2,numCategories+2)&gt;numCategories+1, 1,0))</f>
        <v>2</v>
      </c>
      <c r="R86" s="60">
        <f>IFERROR(INDEX(directors[Last],MAX(1,FLOOR((budgetFinal[row]-1)/(numCategories+3)+1,1))),1)</f>
        <v>0</v>
      </c>
    </row>
    <row r="87" spans="1:18" ht="15" customHeight="1" x14ac:dyDescent="0.25">
      <c r="A87" s="105" t="str">
        <f ca="1"/>
        <v>Communication &amp; Publication</v>
      </c>
      <c r="B87" s="105">
        <f ca="1"/>
        <v>0</v>
      </c>
      <c r="C87" s="105">
        <f ca="1"/>
        <v>0</v>
      </c>
      <c r="D87" s="105">
        <f ca="1"/>
        <v>0</v>
      </c>
      <c r="E87" s="105">
        <f ca="1"/>
        <v>0</v>
      </c>
      <c r="F87" s="105">
        <f ca="1"/>
        <v>0</v>
      </c>
      <c r="G87" s="105">
        <f ca="1"/>
        <v>0</v>
      </c>
      <c r="H87" s="60"/>
      <c r="I87"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Communication &amp; Publication</v>
      </c>
      <c r="J87" s="60">
        <f>budgetMilestone1[[#This Row],[Milestone 1]]</f>
        <v>0</v>
      </c>
      <c r="K87" s="60">
        <f>budgetMilestone2[[#This Row],[Milestone 2]]</f>
        <v>0</v>
      </c>
      <c r="L87" s="60">
        <f>budgetMilestone3[[#This Row],[Milestone 3]]</f>
        <v>0</v>
      </c>
      <c r="M87" s="60">
        <f>budgetMilestone4[[#This Row],[Milestone 4]]</f>
        <v>0</v>
      </c>
      <c r="N87" s="60">
        <f>SUMIFS(ARF[Amount in Euro], ARF[Co Director],budgetFinal[director], ARF[Category], budgetFinal[Category], ARF[Date], "&gt;" &amp; cleanDateMilestone4,ARF[Date], "&lt;=" &amp; cleanDateFinal)</f>
        <v>0</v>
      </c>
      <c r="O87" s="60">
        <f>SUM(budgetFinal[[#This Row],[Milestone 1]:[Final]])</f>
        <v>0</v>
      </c>
      <c r="P87" s="60">
        <f>ROW()-ROW(budgetFinal[#Headers])</f>
        <v>70</v>
      </c>
      <c r="Q87" s="60">
        <f>IF(budgetFinal[row] &lt;= numCategories +3, budgetFinal[row]-1, MOD(budgetFinal[row]-1,numCategories+3) + IF(MOD(budgetFinal[row]-2,numCategories+2)&gt;numCategories+1, 1,0))</f>
        <v>3</v>
      </c>
      <c r="R87" s="60">
        <f>IFERROR(INDEX(directors[Last],MAX(1,FLOOR((budgetFinal[row]-1)/(numCategories+3)+1,1))),1)</f>
        <v>0</v>
      </c>
    </row>
    <row r="88" spans="1:18" ht="15" customHeight="1" x14ac:dyDescent="0.25">
      <c r="A88" s="105" t="str">
        <f ca="1"/>
        <v>Travel</v>
      </c>
      <c r="B88" s="105">
        <f ca="1"/>
        <v>0</v>
      </c>
      <c r="C88" s="105">
        <f ca="1"/>
        <v>0</v>
      </c>
      <c r="D88" s="105">
        <f ca="1"/>
        <v>0</v>
      </c>
      <c r="E88" s="105">
        <f ca="1"/>
        <v>0</v>
      </c>
      <c r="F88" s="105">
        <f ca="1"/>
        <v>0</v>
      </c>
      <c r="G88" s="105">
        <f ca="1"/>
        <v>0</v>
      </c>
      <c r="H88" s="60"/>
      <c r="I88"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Travel</v>
      </c>
      <c r="J88" s="60">
        <f>budgetMilestone1[[#This Row],[Milestone 1]]</f>
        <v>0</v>
      </c>
      <c r="K88" s="60">
        <f>budgetMilestone2[[#This Row],[Milestone 2]]</f>
        <v>0</v>
      </c>
      <c r="L88" s="60">
        <f>budgetMilestone3[[#This Row],[Milestone 3]]</f>
        <v>0</v>
      </c>
      <c r="M88" s="60">
        <f>budgetMilestone4[[#This Row],[Milestone 4]]</f>
        <v>0</v>
      </c>
      <c r="N88" s="60">
        <f>SUMIFS(ARF[Amount in Euro], ARF[Co Director],budgetFinal[director], ARF[Category], budgetFinal[Category], ARF[Date], "&gt;" &amp; cleanDateMilestone4,ARF[Date], "&lt;=" &amp; cleanDateFinal)</f>
        <v>0</v>
      </c>
      <c r="O88" s="60">
        <f>SUM(budgetFinal[[#This Row],[Milestone 1]:[Final]])</f>
        <v>0</v>
      </c>
      <c r="P88" s="60">
        <f>ROW()-ROW(budgetFinal[#Headers])</f>
        <v>71</v>
      </c>
      <c r="Q88" s="60">
        <f>IF(budgetFinal[row] &lt;= numCategories +3, budgetFinal[row]-1, MOD(budgetFinal[row]-1,numCategories+3) + IF(MOD(budgetFinal[row]-2,numCategories+2)&gt;numCategories+1, 1,0))</f>
        <v>4</v>
      </c>
      <c r="R88" s="60">
        <f>IFERROR(INDEX(directors[Last],MAX(1,FLOOR((budgetFinal[row]-1)/(numCategories+3)+1,1))),1)</f>
        <v>0</v>
      </c>
    </row>
    <row r="89" spans="1:18" ht="15" customHeight="1" x14ac:dyDescent="0.25">
      <c r="A89" s="105" t="str">
        <f ca="1"/>
        <v>Consumables</v>
      </c>
      <c r="B89" s="105">
        <f ca="1"/>
        <v>0</v>
      </c>
      <c r="C89" s="105">
        <f ca="1"/>
        <v>0</v>
      </c>
      <c r="D89" s="105">
        <f ca="1"/>
        <v>0</v>
      </c>
      <c r="E89" s="105">
        <f ca="1"/>
        <v>0</v>
      </c>
      <c r="F89" s="105">
        <f ca="1"/>
        <v>0</v>
      </c>
      <c r="G89" s="105">
        <f ca="1"/>
        <v>0</v>
      </c>
      <c r="H89" s="60"/>
      <c r="I89"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Consumables</v>
      </c>
      <c r="J89" s="60">
        <f>budgetMilestone1[[#This Row],[Milestone 1]]</f>
        <v>0</v>
      </c>
      <c r="K89" s="60">
        <f>budgetMilestone2[[#This Row],[Milestone 2]]</f>
        <v>0</v>
      </c>
      <c r="L89" s="60">
        <f>budgetMilestone3[[#This Row],[Milestone 3]]</f>
        <v>0</v>
      </c>
      <c r="M89" s="60">
        <f>budgetMilestone4[[#This Row],[Milestone 4]]</f>
        <v>0</v>
      </c>
      <c r="N89" s="60">
        <f>SUMIFS(ARF[Amount in Euro], ARF[Co Director],budgetFinal[director], ARF[Category], budgetFinal[Category], ARF[Date], "&gt;" &amp; cleanDateMilestone4,ARF[Date], "&lt;=" &amp; cleanDateFinal)</f>
        <v>0</v>
      </c>
      <c r="O89" s="60">
        <f>SUM(budgetFinal[[#This Row],[Milestone 1]:[Final]])</f>
        <v>0</v>
      </c>
      <c r="P89" s="60">
        <f>ROW()-ROW(budgetFinal[#Headers])</f>
        <v>72</v>
      </c>
      <c r="Q89" s="60">
        <f>IF(budgetFinal[row] &lt;= numCategories +3, budgetFinal[row]-1, MOD(budgetFinal[row]-1,numCategories+3) + IF(MOD(budgetFinal[row]-2,numCategories+2)&gt;numCategories+1, 1,0))</f>
        <v>5</v>
      </c>
      <c r="R89" s="60">
        <f>IFERROR(INDEX(directors[Last],MAX(1,FLOOR((budgetFinal[row]-1)/(numCategories+3)+1,1))),1)</f>
        <v>0</v>
      </c>
    </row>
    <row r="90" spans="1:18" ht="15" customHeight="1" x14ac:dyDescent="0.25">
      <c r="A90" s="105" t="str">
        <f ca="1"/>
        <v>Other</v>
      </c>
      <c r="B90" s="105">
        <f ca="1"/>
        <v>0</v>
      </c>
      <c r="C90" s="105">
        <f ca="1"/>
        <v>0</v>
      </c>
      <c r="D90" s="105">
        <f ca="1"/>
        <v>0</v>
      </c>
      <c r="E90" s="105">
        <f ca="1"/>
        <v>0</v>
      </c>
      <c r="F90" s="105">
        <f ca="1"/>
        <v>0</v>
      </c>
      <c r="G90" s="105">
        <f ca="1"/>
        <v>0</v>
      </c>
      <c r="H90" s="60"/>
      <c r="I90"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Other</v>
      </c>
      <c r="J90" s="60">
        <f>budgetMilestone1[[#This Row],[Milestone 1]]</f>
        <v>0</v>
      </c>
      <c r="K90" s="60">
        <f>budgetMilestone2[[#This Row],[Milestone 2]]</f>
        <v>0</v>
      </c>
      <c r="L90" s="60">
        <f>budgetMilestone3[[#This Row],[Milestone 3]]</f>
        <v>0</v>
      </c>
      <c r="M90" s="60">
        <f>budgetMilestone4[[#This Row],[Milestone 4]]</f>
        <v>0</v>
      </c>
      <c r="N90" s="60">
        <f>SUMIFS(ARF[Amount in Euro], ARF[Co Director],budgetFinal[director], ARF[Category], budgetFinal[Category], ARF[Date], "&gt;" &amp; cleanDateMilestone4,ARF[Date], "&lt;=" &amp; cleanDateFinal)</f>
        <v>0</v>
      </c>
      <c r="O90" s="60">
        <f>SUM(budgetFinal[[#This Row],[Milestone 1]:[Final]])</f>
        <v>0</v>
      </c>
      <c r="P90" s="60">
        <f>ROW()-ROW(budgetFinal[#Headers])</f>
        <v>73</v>
      </c>
      <c r="Q90" s="60">
        <f>IF(budgetFinal[row] &lt;= numCategories +3, budgetFinal[row]-1, MOD(budgetFinal[row]-1,numCategories+3) + IF(MOD(budgetFinal[row]-2,numCategories+2)&gt;numCategories+1, 1,0))</f>
        <v>6</v>
      </c>
      <c r="R90" s="60">
        <f>IFERROR(INDEX(directors[Last],MAX(1,FLOOR((budgetFinal[row]-1)/(numCategories+3)+1,1))),1)</f>
        <v>0</v>
      </c>
    </row>
    <row r="91" spans="1:18" ht="15" customHeight="1" x14ac:dyDescent="0.25">
      <c r="A91" s="105" t="str">
        <f ca="1"/>
        <v>Stipends</v>
      </c>
      <c r="B91" s="105">
        <f ca="1"/>
        <v>0</v>
      </c>
      <c r="C91" s="105">
        <f ca="1"/>
        <v>0</v>
      </c>
      <c r="D91" s="105">
        <f ca="1"/>
        <v>0</v>
      </c>
      <c r="E91" s="105">
        <f ca="1"/>
        <v>0</v>
      </c>
      <c r="F91" s="105">
        <f ca="1"/>
        <v>0</v>
      </c>
      <c r="G91" s="105">
        <f ca="1"/>
        <v>0</v>
      </c>
      <c r="H91" s="60"/>
      <c r="I91"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Stipends</v>
      </c>
      <c r="J91" s="60">
        <f>budgetMilestone1[[#This Row],[Milestone 1]]</f>
        <v>0</v>
      </c>
      <c r="K91" s="60">
        <f>budgetMilestone2[[#This Row],[Milestone 2]]</f>
        <v>0</v>
      </c>
      <c r="L91" s="60">
        <f>budgetMilestone3[[#This Row],[Milestone 3]]</f>
        <v>0</v>
      </c>
      <c r="M91" s="60">
        <f>budgetMilestone4[[#This Row],[Milestone 4]]</f>
        <v>0</v>
      </c>
      <c r="N91" s="60">
        <f>SUMIFS(ARF[Amount in Euro], ARF[Co Director],budgetFinal[director], ARF[Category], budgetFinal[Category], ARF[Date], "&gt;" &amp; cleanDateMilestone4,ARF[Date], "&lt;=" &amp; cleanDateFinal)</f>
        <v>0</v>
      </c>
      <c r="O91" s="60">
        <f>SUM(budgetFinal[[#This Row],[Milestone 1]:[Final]])</f>
        <v>0</v>
      </c>
      <c r="P91" s="60">
        <f>ROW()-ROW(budgetFinal[#Headers])</f>
        <v>74</v>
      </c>
      <c r="Q91" s="60">
        <f>IF(budgetFinal[row] &lt;= numCategories +3, budgetFinal[row]-1, MOD(budgetFinal[row]-1,numCategories+3) + IF(MOD(budgetFinal[row]-2,numCategories+2)&gt;numCategories+1, 1,0))</f>
        <v>7</v>
      </c>
      <c r="R91" s="60">
        <f>IFERROR(INDEX(directors[Last],MAX(1,FLOOR((budgetFinal[row]-1)/(numCategories+3)+1,1))),1)</f>
        <v>0</v>
      </c>
    </row>
    <row r="92" spans="1:18" ht="15" customHeight="1" x14ac:dyDescent="0.25">
      <c r="A92" s="105" t="str">
        <f ca="1"/>
        <v>Co-financing of personnel</v>
      </c>
      <c r="B92" s="105">
        <f ca="1"/>
        <v>0</v>
      </c>
      <c r="C92" s="105">
        <f ca="1"/>
        <v>0</v>
      </c>
      <c r="D92" s="105">
        <f ca="1"/>
        <v>0</v>
      </c>
      <c r="E92" s="105">
        <f ca="1"/>
        <v>0</v>
      </c>
      <c r="F92" s="105">
        <f ca="1"/>
        <v>0</v>
      </c>
      <c r="G92" s="105">
        <f ca="1"/>
        <v>0</v>
      </c>
      <c r="H92" s="60"/>
      <c r="I92"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Co-financing of personnel</v>
      </c>
      <c r="J92" s="60">
        <f>budgetMilestone1[[#This Row],[Milestone 1]]</f>
        <v>0</v>
      </c>
      <c r="K92" s="60">
        <f>budgetMilestone2[[#This Row],[Milestone 2]]</f>
        <v>0</v>
      </c>
      <c r="L92" s="60">
        <f>budgetMilestone3[[#This Row],[Milestone 3]]</f>
        <v>0</v>
      </c>
      <c r="M92" s="60">
        <f>budgetMilestone4[[#This Row],[Milestone 4]]</f>
        <v>0</v>
      </c>
      <c r="N92" s="60">
        <f>SUMIFS(ARF[Amount in Euro], ARF[Co Director],budgetFinal[director], ARF[Category], budgetFinal[Category], ARF[Date], "&gt;" &amp; cleanDateMilestone4,ARF[Date], "&lt;=" &amp; cleanDateFinal)</f>
        <v>0</v>
      </c>
      <c r="O92" s="60">
        <f>SUM(budgetFinal[[#This Row],[Milestone 1]:[Final]])</f>
        <v>0</v>
      </c>
      <c r="P92" s="60">
        <f>ROW()-ROW(budgetFinal[#Headers])</f>
        <v>75</v>
      </c>
      <c r="Q92" s="60">
        <f>IF(budgetFinal[row] &lt;= numCategories +3, budgetFinal[row]-1, MOD(budgetFinal[row]-1,numCategories+3) + IF(MOD(budgetFinal[row]-2,numCategories+2)&gt;numCategories+1, 1,0))</f>
        <v>8</v>
      </c>
      <c r="R92" s="60">
        <f>IFERROR(INDEX(directors[Last],MAX(1,FLOOR((budgetFinal[row]-1)/(numCategories+3)+1,1))),1)</f>
        <v>0</v>
      </c>
    </row>
    <row r="93" spans="1:18" ht="15" customHeight="1" x14ac:dyDescent="0.25">
      <c r="A93" s="105" t="str">
        <f ca="1"/>
        <v>Subtotal 0</v>
      </c>
      <c r="B93" s="105">
        <f ca="1"/>
        <v>0</v>
      </c>
      <c r="C93" s="105">
        <f ca="1"/>
        <v>0</v>
      </c>
      <c r="D93" s="105">
        <f ca="1"/>
        <v>0</v>
      </c>
      <c r="E93" s="105">
        <f ca="1"/>
        <v>0</v>
      </c>
      <c r="F93" s="105">
        <f ca="1"/>
        <v>0</v>
      </c>
      <c r="G93" s="105">
        <f ca="1"/>
        <v>0</v>
      </c>
      <c r="H93" s="60"/>
      <c r="I93"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Subtotal 0</v>
      </c>
      <c r="J93" s="60">
        <f>budgetMilestone1[[#This Row],[Milestone 1]]</f>
        <v>0</v>
      </c>
      <c r="K93" s="60">
        <f>budgetMilestone2[[#This Row],[Milestone 2]]</f>
        <v>0</v>
      </c>
      <c r="L93" s="60">
        <f>budgetMilestone3[[#This Row],[Milestone 3]]</f>
        <v>0</v>
      </c>
      <c r="M93" s="60">
        <f>budgetMilestone4[[#This Row],[Milestone 4]]</f>
        <v>0</v>
      </c>
      <c r="N93" s="60">
        <f t="shared" ref="N93:O93" si="5">SUBTOTAL(9,N85:N92)</f>
        <v>0</v>
      </c>
      <c r="O93" s="60">
        <f t="shared" si="5"/>
        <v>0</v>
      </c>
      <c r="P93" s="60">
        <f>ROW()-ROW(budgetFinal[#Headers])</f>
        <v>76</v>
      </c>
      <c r="Q93" s="60">
        <f>IF(budgetFinal[row] &lt;= numCategories +3, budgetFinal[row]-1, MOD(budgetFinal[row]-1,numCategories+3) + IF(MOD(budgetFinal[row]-2,numCategories+2)&gt;numCategories+1, 1,0))</f>
        <v>9</v>
      </c>
      <c r="R93" s="60">
        <f>IFERROR(INDEX(directors[Last],MAX(1,FLOOR((budgetFinal[row]-1)/(numCategories+3)+1,1))),1)</f>
        <v>0</v>
      </c>
    </row>
    <row r="94" spans="1:18" ht="15" customHeight="1" x14ac:dyDescent="0.25">
      <c r="A94" s="105" t="str">
        <f ca="1"/>
        <v/>
      </c>
      <c r="B94" s="105">
        <f ca="1"/>
        <v>0</v>
      </c>
      <c r="C94" s="105">
        <f ca="1"/>
        <v>0</v>
      </c>
      <c r="D94" s="105">
        <f ca="1"/>
        <v>0</v>
      </c>
      <c r="E94" s="105">
        <f ca="1"/>
        <v>0</v>
      </c>
      <c r="F94" s="105">
        <f ca="1"/>
        <v>0</v>
      </c>
      <c r="G94" s="105">
        <f ca="1"/>
        <v>0</v>
      </c>
      <c r="H94" s="60"/>
      <c r="I94"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c>
      <c r="J94" s="60">
        <f>budgetMilestone1[[#This Row],[Milestone 1]]</f>
        <v>0</v>
      </c>
      <c r="K94" s="60">
        <f>budgetMilestone2[[#This Row],[Milestone 2]]</f>
        <v>0</v>
      </c>
      <c r="L94" s="60">
        <f>budgetMilestone3[[#This Row],[Milestone 3]]</f>
        <v>0</v>
      </c>
      <c r="M94" s="60">
        <f>budgetMilestone4[[#This Row],[Milestone 4]]</f>
        <v>0</v>
      </c>
      <c r="N94" s="60">
        <f>SUMIFS(ARF[Amount in Euro], ARF[Co Director],budgetFinal[director], ARF[Category], budgetFinal[Category], ARF[Date], "&gt;" &amp; cleanDateMilestone4,ARF[Date], "&lt;=" &amp; cleanDateFinal)</f>
        <v>0</v>
      </c>
      <c r="O94" s="60"/>
      <c r="P94" s="60">
        <f>ROW()-ROW(budgetFinal[#Headers])</f>
        <v>77</v>
      </c>
      <c r="Q94" s="60">
        <f>IF(budgetFinal[row] &lt;= numCategories +3, budgetFinal[row]-1, MOD(budgetFinal[row]-1,numCategories+3) + IF(MOD(budgetFinal[row]-2,numCategories+2)&gt;numCategories+1, 1,0))</f>
        <v>10</v>
      </c>
      <c r="R94" s="60">
        <f>IFERROR(INDEX(directors[Last],MAX(1,FLOOR((budgetFinal[row]-1)/(numCategories+3)+1,1))),1)</f>
        <v>0</v>
      </c>
    </row>
    <row r="95" spans="1:18" ht="15" customHeight="1" x14ac:dyDescent="0.25">
      <c r="A95" s="105" t="str">
        <f ca="1"/>
        <v xml:space="preserve">0 / </v>
      </c>
      <c r="B95" s="105">
        <f ca="1"/>
        <v>0</v>
      </c>
      <c r="C95" s="105">
        <f ca="1"/>
        <v>0</v>
      </c>
      <c r="D95" s="105">
        <f ca="1"/>
        <v>0</v>
      </c>
      <c r="E95" s="105">
        <f ca="1"/>
        <v>0</v>
      </c>
      <c r="F95" s="105">
        <f ca="1"/>
        <v>0</v>
      </c>
      <c r="G95" s="105">
        <f ca="1"/>
        <v>0</v>
      </c>
      <c r="H95" s="60"/>
      <c r="I95"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xml:space="preserve">0 / </v>
      </c>
      <c r="J95" s="60">
        <f>budgetMilestone1[[#This Row],[Milestone 1]]</f>
        <v>0</v>
      </c>
      <c r="K95" s="60">
        <f>budgetMilestone2[[#This Row],[Milestone 2]]</f>
        <v>0</v>
      </c>
      <c r="L95" s="60">
        <f>budgetMilestone3[[#This Row],[Milestone 3]]</f>
        <v>0</v>
      </c>
      <c r="M95" s="60">
        <f>budgetMilestone4[[#This Row],[Milestone 4]]</f>
        <v>0</v>
      </c>
      <c r="N95" s="60">
        <f>SUMIFS(ARF[Amount in Euro], ARF[Co Director],budgetFinal[director], ARF[Category], budgetFinal[Category], ARF[Date], "&gt;" &amp; cleanDateMilestone4,ARF[Date], "&lt;=" &amp; cleanDateFinal)</f>
        <v>0</v>
      </c>
      <c r="O95" s="60"/>
      <c r="P95" s="60">
        <f>ROW()-ROW(budgetFinal[#Headers])</f>
        <v>78</v>
      </c>
      <c r="Q95" s="60">
        <f>IF(budgetFinal[row] &lt;= numCategories +3, budgetFinal[row]-1, MOD(budgetFinal[row]-1,numCategories+3) + IF(MOD(budgetFinal[row]-2,numCategories+2)&gt;numCategories+1, 1,0))</f>
        <v>0</v>
      </c>
      <c r="R95" s="60">
        <f>IFERROR(INDEX(directors[Last],MAX(1,FLOOR((budgetFinal[row]-1)/(numCategories+3)+1,1))),1)</f>
        <v>0</v>
      </c>
    </row>
    <row r="96" spans="1:18" ht="15" customHeight="1" x14ac:dyDescent="0.25">
      <c r="A96" s="105" t="str">
        <f ca="1"/>
        <v>Equipment</v>
      </c>
      <c r="B96" s="105">
        <f ca="1"/>
        <v>0</v>
      </c>
      <c r="C96" s="105">
        <f ca="1"/>
        <v>0</v>
      </c>
      <c r="D96" s="105">
        <f ca="1"/>
        <v>0</v>
      </c>
      <c r="E96" s="105">
        <f ca="1"/>
        <v>0</v>
      </c>
      <c r="F96" s="105">
        <f ca="1"/>
        <v>0</v>
      </c>
      <c r="G96" s="105">
        <f ca="1"/>
        <v>0</v>
      </c>
      <c r="H96" s="60"/>
      <c r="I96"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Equipment</v>
      </c>
      <c r="J96" s="60">
        <f>budgetMilestone1[[#This Row],[Milestone 1]]</f>
        <v>0</v>
      </c>
      <c r="K96" s="60">
        <f>budgetMilestone2[[#This Row],[Milestone 2]]</f>
        <v>0</v>
      </c>
      <c r="L96" s="60">
        <f>budgetMilestone3[[#This Row],[Milestone 3]]</f>
        <v>0</v>
      </c>
      <c r="M96" s="60">
        <f>budgetMilestone4[[#This Row],[Milestone 4]]</f>
        <v>0</v>
      </c>
      <c r="N96" s="60">
        <f>SUMIFS(ARF[Amount in Euro], ARF[Co Director],budgetFinal[director], ARF[Category], budgetFinal[Category], ARF[Date], "&gt;" &amp; cleanDateMilestone4,ARF[Date], "&lt;=" &amp; cleanDateFinal)</f>
        <v>0</v>
      </c>
      <c r="O96" s="60">
        <f>SUM(budgetFinal[[#This Row],[Milestone 1]:[Final]])</f>
        <v>0</v>
      </c>
      <c r="P96" s="60">
        <f>ROW()-ROW(budgetFinal[#Headers])</f>
        <v>79</v>
      </c>
      <c r="Q96" s="60">
        <f>IF(budgetFinal[row] &lt;= numCategories +3, budgetFinal[row]-1, MOD(budgetFinal[row]-1,numCategories+3) + IF(MOD(budgetFinal[row]-2,numCategories+2)&gt;numCategories+1, 1,0))</f>
        <v>1</v>
      </c>
      <c r="R96" s="60">
        <f>IFERROR(INDEX(directors[Last],MAX(1,FLOOR((budgetFinal[row]-1)/(numCategories+3)+1,1))),1)</f>
        <v>0</v>
      </c>
    </row>
    <row r="97" spans="1:18" ht="15" customHeight="1" x14ac:dyDescent="0.25">
      <c r="A97" s="105" t="str">
        <f ca="1"/>
        <v>Training</v>
      </c>
      <c r="B97" s="105">
        <f ca="1"/>
        <v>0</v>
      </c>
      <c r="C97" s="105">
        <f ca="1"/>
        <v>0</v>
      </c>
      <c r="D97" s="105">
        <f ca="1"/>
        <v>0</v>
      </c>
      <c r="E97" s="105">
        <f ca="1"/>
        <v>0</v>
      </c>
      <c r="F97" s="105">
        <f ca="1"/>
        <v>0</v>
      </c>
      <c r="G97" s="105">
        <f ca="1"/>
        <v>0</v>
      </c>
      <c r="H97" s="60"/>
      <c r="I97"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Training</v>
      </c>
      <c r="J97" s="60">
        <f>budgetMilestone1[[#This Row],[Milestone 1]]</f>
        <v>0</v>
      </c>
      <c r="K97" s="60">
        <f>budgetMilestone2[[#This Row],[Milestone 2]]</f>
        <v>0</v>
      </c>
      <c r="L97" s="60">
        <f>budgetMilestone3[[#This Row],[Milestone 3]]</f>
        <v>0</v>
      </c>
      <c r="M97" s="60">
        <f>budgetMilestone4[[#This Row],[Milestone 4]]</f>
        <v>0</v>
      </c>
      <c r="N97" s="60">
        <f>SUMIFS(ARF[Amount in Euro], ARF[Co Director],budgetFinal[director], ARF[Category], budgetFinal[Category], ARF[Date], "&gt;" &amp; cleanDateMilestone4,ARF[Date], "&lt;=" &amp; cleanDateFinal)</f>
        <v>0</v>
      </c>
      <c r="O97" s="60">
        <f>SUM(budgetFinal[[#This Row],[Milestone 1]:[Final]])</f>
        <v>0</v>
      </c>
      <c r="P97" s="60">
        <f>ROW()-ROW(budgetFinal[#Headers])</f>
        <v>80</v>
      </c>
      <c r="Q97" s="60">
        <f>IF(budgetFinal[row] &lt;= numCategories +3, budgetFinal[row]-1, MOD(budgetFinal[row]-1,numCategories+3) + IF(MOD(budgetFinal[row]-2,numCategories+2)&gt;numCategories+1, 1,0))</f>
        <v>2</v>
      </c>
      <c r="R97" s="60">
        <f>IFERROR(INDEX(directors[Last],MAX(1,FLOOR((budgetFinal[row]-1)/(numCategories+3)+1,1))),1)</f>
        <v>0</v>
      </c>
    </row>
    <row r="98" spans="1:18" ht="15" customHeight="1" x14ac:dyDescent="0.25">
      <c r="A98" s="105" t="str">
        <f ca="1"/>
        <v>Communication &amp; Publication</v>
      </c>
      <c r="B98" s="105">
        <f ca="1"/>
        <v>0</v>
      </c>
      <c r="C98" s="105">
        <f ca="1"/>
        <v>0</v>
      </c>
      <c r="D98" s="105">
        <f ca="1"/>
        <v>0</v>
      </c>
      <c r="E98" s="105">
        <f ca="1"/>
        <v>0</v>
      </c>
      <c r="F98" s="105">
        <f ca="1"/>
        <v>0</v>
      </c>
      <c r="G98" s="105">
        <f ca="1"/>
        <v>0</v>
      </c>
      <c r="H98" s="60"/>
      <c r="I98"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Communication &amp; Publication</v>
      </c>
      <c r="J98" s="60">
        <f>budgetMilestone1[[#This Row],[Milestone 1]]</f>
        <v>0</v>
      </c>
      <c r="K98" s="60">
        <f>budgetMilestone2[[#This Row],[Milestone 2]]</f>
        <v>0</v>
      </c>
      <c r="L98" s="60">
        <f>budgetMilestone3[[#This Row],[Milestone 3]]</f>
        <v>0</v>
      </c>
      <c r="M98" s="60">
        <f>budgetMilestone4[[#This Row],[Milestone 4]]</f>
        <v>0</v>
      </c>
      <c r="N98" s="60">
        <f>SUMIFS(ARF[Amount in Euro], ARF[Co Director],budgetFinal[director], ARF[Category], budgetFinal[Category], ARF[Date], "&gt;" &amp; cleanDateMilestone4,ARF[Date], "&lt;=" &amp; cleanDateFinal)</f>
        <v>0</v>
      </c>
      <c r="O98" s="60">
        <f>SUM(budgetFinal[[#This Row],[Milestone 1]:[Final]])</f>
        <v>0</v>
      </c>
      <c r="P98" s="61">
        <f>ROW()-ROW(budgetFinal[#Headers])</f>
        <v>81</v>
      </c>
      <c r="Q98" s="61">
        <f>IF(budgetFinal[row] &lt;= numCategories +3, budgetFinal[row]-1, MOD(budgetFinal[row]-1,numCategories+3) + IF(MOD(budgetFinal[row]-2,numCategories+2)&gt;numCategories+1, 1,0))</f>
        <v>3</v>
      </c>
      <c r="R98" s="60">
        <f>IFERROR(INDEX(directors[Last],MAX(1,FLOOR((budgetFinal[row]-1)/(numCategories+3)+1,1))),1)</f>
        <v>0</v>
      </c>
    </row>
    <row r="99" spans="1:18" ht="15" customHeight="1" x14ac:dyDescent="0.25">
      <c r="A99" s="105" t="str">
        <f ca="1"/>
        <v>Travel</v>
      </c>
      <c r="B99" s="105">
        <f ca="1"/>
        <v>0</v>
      </c>
      <c r="C99" s="105">
        <f ca="1"/>
        <v>0</v>
      </c>
      <c r="D99" s="105">
        <f ca="1"/>
        <v>0</v>
      </c>
      <c r="E99" s="105">
        <f ca="1"/>
        <v>0</v>
      </c>
      <c r="F99" s="105">
        <f ca="1"/>
        <v>0</v>
      </c>
      <c r="G99" s="105">
        <f ca="1"/>
        <v>0</v>
      </c>
      <c r="H99" s="60"/>
      <c r="I99"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Travel</v>
      </c>
      <c r="J99" s="60">
        <f>budgetMilestone1[[#This Row],[Milestone 1]]</f>
        <v>0</v>
      </c>
      <c r="K99" s="60">
        <f>budgetMilestone2[[#This Row],[Milestone 2]]</f>
        <v>0</v>
      </c>
      <c r="L99" s="60">
        <f>budgetMilestone3[[#This Row],[Milestone 3]]</f>
        <v>0</v>
      </c>
      <c r="M99" s="60">
        <f>budgetMilestone4[[#This Row],[Milestone 4]]</f>
        <v>0</v>
      </c>
      <c r="N99" s="60">
        <f>SUMIFS(ARF[Amount in Euro], ARF[Co Director],budgetFinal[director], ARF[Category], budgetFinal[Category], ARF[Date], "&gt;" &amp; cleanDateMilestone4,ARF[Date], "&lt;=" &amp; cleanDateFinal)</f>
        <v>0</v>
      </c>
      <c r="O99" s="60">
        <f>SUM(budgetFinal[[#This Row],[Milestone 1]:[Final]])</f>
        <v>0</v>
      </c>
      <c r="P99" s="60">
        <f>ROW()-ROW(budgetFinal[#Headers])</f>
        <v>82</v>
      </c>
      <c r="Q99" s="60">
        <f>IF(budgetFinal[row] &lt;= numCategories +3, budgetFinal[row]-1, MOD(budgetFinal[row]-1,numCategories+3) + IF(MOD(budgetFinal[row]-2,numCategories+2)&gt;numCategories+1, 1,0))</f>
        <v>4</v>
      </c>
      <c r="R99" s="60">
        <f>IFERROR(INDEX(directors[Last],MAX(1,FLOOR((budgetFinal[row]-1)/(numCategories+3)+1,1))),1)</f>
        <v>0</v>
      </c>
    </row>
    <row r="100" spans="1:18" ht="15" customHeight="1" x14ac:dyDescent="0.25">
      <c r="A100" s="105" t="str">
        <f ca="1"/>
        <v>Consumables</v>
      </c>
      <c r="B100" s="105">
        <f ca="1"/>
        <v>0</v>
      </c>
      <c r="C100" s="105">
        <f ca="1"/>
        <v>0</v>
      </c>
      <c r="D100" s="105">
        <f ca="1"/>
        <v>0</v>
      </c>
      <c r="E100" s="105">
        <f ca="1"/>
        <v>0</v>
      </c>
      <c r="F100" s="105">
        <f ca="1"/>
        <v>0</v>
      </c>
      <c r="G100" s="105">
        <f ca="1"/>
        <v>0</v>
      </c>
      <c r="H100" s="60"/>
      <c r="I100"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Consumables</v>
      </c>
      <c r="J100" s="60">
        <f>budgetMilestone1[[#This Row],[Milestone 1]]</f>
        <v>0</v>
      </c>
      <c r="K100" s="60">
        <f>budgetMilestone2[[#This Row],[Milestone 2]]</f>
        <v>0</v>
      </c>
      <c r="L100" s="60">
        <f>budgetMilestone3[[#This Row],[Milestone 3]]</f>
        <v>0</v>
      </c>
      <c r="M100" s="60">
        <f>budgetMilestone4[[#This Row],[Milestone 4]]</f>
        <v>0</v>
      </c>
      <c r="N100" s="60">
        <f>SUMIFS(ARF[Amount in Euro], ARF[Co Director],budgetFinal[director], ARF[Category], budgetFinal[Category], ARF[Date], "&gt;" &amp; cleanDateMilestone4,ARF[Date], "&lt;=" &amp; cleanDateFinal)</f>
        <v>0</v>
      </c>
      <c r="O100" s="60">
        <f>SUM(budgetFinal[[#This Row],[Milestone 1]:[Final]])</f>
        <v>0</v>
      </c>
      <c r="P100" s="60">
        <f>ROW()-ROW(budgetFinal[#Headers])</f>
        <v>83</v>
      </c>
      <c r="Q100" s="60">
        <f>IF(budgetFinal[row] &lt;= numCategories +3, budgetFinal[row]-1, MOD(budgetFinal[row]-1,numCategories+3) + IF(MOD(budgetFinal[row]-2,numCategories+2)&gt;numCategories+1, 1,0))</f>
        <v>5</v>
      </c>
      <c r="R100" s="60">
        <f>IFERROR(INDEX(directors[Last],MAX(1,FLOOR((budgetFinal[row]-1)/(numCategories+3)+1,1))),1)</f>
        <v>0</v>
      </c>
    </row>
    <row r="101" spans="1:18" ht="15" customHeight="1" x14ac:dyDescent="0.25">
      <c r="A101" s="105" t="str">
        <f ca="1"/>
        <v>Other</v>
      </c>
      <c r="B101" s="105">
        <f ca="1"/>
        <v>0</v>
      </c>
      <c r="C101" s="105">
        <f ca="1"/>
        <v>0</v>
      </c>
      <c r="D101" s="105">
        <f ca="1"/>
        <v>0</v>
      </c>
      <c r="E101" s="105">
        <f ca="1"/>
        <v>0</v>
      </c>
      <c r="F101" s="105">
        <f ca="1"/>
        <v>0</v>
      </c>
      <c r="G101" s="105">
        <f ca="1"/>
        <v>0</v>
      </c>
      <c r="H101" s="60"/>
      <c r="I101"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Other</v>
      </c>
      <c r="J101" s="60">
        <f>budgetMilestone1[[#This Row],[Milestone 1]]</f>
        <v>0</v>
      </c>
      <c r="K101" s="60">
        <f>budgetMilestone2[[#This Row],[Milestone 2]]</f>
        <v>0</v>
      </c>
      <c r="L101" s="60">
        <f>budgetMilestone3[[#This Row],[Milestone 3]]</f>
        <v>0</v>
      </c>
      <c r="M101" s="60">
        <f>budgetMilestone4[[#This Row],[Milestone 4]]</f>
        <v>0</v>
      </c>
      <c r="N101" s="60">
        <f>SUMIFS(ARF[Amount in Euro], ARF[Co Director],budgetFinal[director], ARF[Category], budgetFinal[Category], ARF[Date], "&gt;" &amp; cleanDateMilestone4,ARF[Date], "&lt;=" &amp; cleanDateFinal)</f>
        <v>0</v>
      </c>
      <c r="O101" s="60">
        <f>SUM(budgetFinal[[#This Row],[Milestone 1]:[Final]])</f>
        <v>0</v>
      </c>
      <c r="P101" s="60">
        <f>ROW()-ROW(budgetFinal[#Headers])</f>
        <v>84</v>
      </c>
      <c r="Q101" s="60">
        <f>IF(budgetFinal[row] &lt;= numCategories +3, budgetFinal[row]-1, MOD(budgetFinal[row]-1,numCategories+3) + IF(MOD(budgetFinal[row]-2,numCategories+2)&gt;numCategories+1, 1,0))</f>
        <v>6</v>
      </c>
      <c r="R101" s="60">
        <f>IFERROR(INDEX(directors[Last],MAX(1,FLOOR((budgetFinal[row]-1)/(numCategories+3)+1,1))),1)</f>
        <v>0</v>
      </c>
    </row>
    <row r="102" spans="1:18" ht="15" customHeight="1" x14ac:dyDescent="0.25">
      <c r="A102" s="105" t="str">
        <f ca="1"/>
        <v>Stipends</v>
      </c>
      <c r="B102" s="105">
        <f ca="1"/>
        <v>0</v>
      </c>
      <c r="C102" s="105">
        <f ca="1"/>
        <v>0</v>
      </c>
      <c r="D102" s="105">
        <f ca="1"/>
        <v>0</v>
      </c>
      <c r="E102" s="105">
        <f ca="1"/>
        <v>0</v>
      </c>
      <c r="F102" s="105">
        <f ca="1"/>
        <v>0</v>
      </c>
      <c r="G102" s="105">
        <f ca="1"/>
        <v>0</v>
      </c>
      <c r="H102" s="60"/>
      <c r="I102"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Stipends</v>
      </c>
      <c r="J102" s="60">
        <f>budgetMilestone1[[#This Row],[Milestone 1]]</f>
        <v>0</v>
      </c>
      <c r="K102" s="60">
        <f>budgetMilestone2[[#This Row],[Milestone 2]]</f>
        <v>0</v>
      </c>
      <c r="L102" s="60">
        <f>budgetMilestone3[[#This Row],[Milestone 3]]</f>
        <v>0</v>
      </c>
      <c r="M102" s="60">
        <f>budgetMilestone4[[#This Row],[Milestone 4]]</f>
        <v>0</v>
      </c>
      <c r="N102" s="60">
        <f>SUMIFS(ARF[Amount in Euro], ARF[Co Director],budgetFinal[director], ARF[Category], budgetFinal[Category], ARF[Date], "&gt;" &amp; cleanDateMilestone4,ARF[Date], "&lt;=" &amp; cleanDateFinal)</f>
        <v>0</v>
      </c>
      <c r="O102" s="60">
        <f>SUM(budgetFinal[[#This Row],[Milestone 1]:[Final]])</f>
        <v>0</v>
      </c>
      <c r="P102" s="60">
        <f>ROW()-ROW(budgetFinal[#Headers])</f>
        <v>85</v>
      </c>
      <c r="Q102" s="60">
        <f>IF(budgetFinal[row] &lt;= numCategories +3, budgetFinal[row]-1, MOD(budgetFinal[row]-1,numCategories+3) + IF(MOD(budgetFinal[row]-2,numCategories+2)&gt;numCategories+1, 1,0))</f>
        <v>7</v>
      </c>
      <c r="R102" s="60">
        <f>IFERROR(INDEX(directors[Last],MAX(1,FLOOR((budgetFinal[row]-1)/(numCategories+3)+1,1))),1)</f>
        <v>0</v>
      </c>
    </row>
    <row r="103" spans="1:18" ht="15" customHeight="1" x14ac:dyDescent="0.25">
      <c r="A103" s="105" t="str">
        <f ca="1"/>
        <v>Co-financing of personnel</v>
      </c>
      <c r="B103" s="105">
        <f ca="1"/>
        <v>0</v>
      </c>
      <c r="C103" s="105">
        <f ca="1"/>
        <v>0</v>
      </c>
      <c r="D103" s="105">
        <f ca="1"/>
        <v>0</v>
      </c>
      <c r="E103" s="105">
        <f ca="1"/>
        <v>0</v>
      </c>
      <c r="F103" s="105">
        <f ca="1"/>
        <v>0</v>
      </c>
      <c r="G103" s="105">
        <f ca="1"/>
        <v>0</v>
      </c>
      <c r="H103" s="60"/>
      <c r="I103"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Co-financing of personnel</v>
      </c>
      <c r="J103" s="60">
        <f>budgetMilestone1[[#This Row],[Milestone 1]]</f>
        <v>0</v>
      </c>
      <c r="K103" s="60">
        <f>budgetMilestone2[[#This Row],[Milestone 2]]</f>
        <v>0</v>
      </c>
      <c r="L103" s="60">
        <f>budgetMilestone3[[#This Row],[Milestone 3]]</f>
        <v>0</v>
      </c>
      <c r="M103" s="60">
        <f>budgetMilestone4[[#This Row],[Milestone 4]]</f>
        <v>0</v>
      </c>
      <c r="N103" s="60">
        <f>SUMIFS(ARF[Amount in Euro], ARF[Co Director],budgetFinal[director], ARF[Category], budgetFinal[Category], ARF[Date], "&gt;" &amp; cleanDateMilestone4,ARF[Date], "&lt;=" &amp; cleanDateFinal)</f>
        <v>0</v>
      </c>
      <c r="O103" s="60">
        <f>SUM(budgetFinal[[#This Row],[Milestone 1]:[Final]])</f>
        <v>0</v>
      </c>
      <c r="P103" s="60">
        <f>ROW()-ROW(budgetFinal[#Headers])</f>
        <v>86</v>
      </c>
      <c r="Q103" s="60">
        <f>IF(budgetFinal[row] &lt;= numCategories +3, budgetFinal[row]-1, MOD(budgetFinal[row]-1,numCategories+3) + IF(MOD(budgetFinal[row]-2,numCategories+2)&gt;numCategories+1, 1,0))</f>
        <v>8</v>
      </c>
      <c r="R103" s="60">
        <f>IFERROR(INDEX(directors[Last],MAX(1,FLOOR((budgetFinal[row]-1)/(numCategories+3)+1,1))),1)</f>
        <v>0</v>
      </c>
    </row>
    <row r="104" spans="1:18" ht="15" customHeight="1" x14ac:dyDescent="0.25">
      <c r="A104" s="105" t="str">
        <f ca="1"/>
        <v>Subtotal 0</v>
      </c>
      <c r="B104" s="105">
        <f ca="1"/>
        <v>0</v>
      </c>
      <c r="C104" s="105">
        <f ca="1"/>
        <v>0</v>
      </c>
      <c r="D104" s="105">
        <f ca="1"/>
        <v>0</v>
      </c>
      <c r="E104" s="105">
        <f ca="1"/>
        <v>0</v>
      </c>
      <c r="F104" s="105">
        <f ca="1"/>
        <v>0</v>
      </c>
      <c r="G104" s="105">
        <f ca="1"/>
        <v>0</v>
      </c>
      <c r="H104" s="60"/>
      <c r="I104"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Subtotal 0</v>
      </c>
      <c r="J104" s="60">
        <f>budgetMilestone1[[#This Row],[Milestone 1]]</f>
        <v>0</v>
      </c>
      <c r="K104" s="60">
        <f>budgetMilestone2[[#This Row],[Milestone 2]]</f>
        <v>0</v>
      </c>
      <c r="L104" s="60">
        <f>budgetMilestone3[[#This Row],[Milestone 3]]</f>
        <v>0</v>
      </c>
      <c r="M104" s="60">
        <f>budgetMilestone4[[#This Row],[Milestone 4]]</f>
        <v>0</v>
      </c>
      <c r="N104" s="60">
        <f t="shared" ref="N104:O104" si="6">SUBTOTAL(9,N96:N103)</f>
        <v>0</v>
      </c>
      <c r="O104" s="60">
        <f t="shared" si="6"/>
        <v>0</v>
      </c>
      <c r="P104" s="61">
        <f>ROW()-ROW(budgetFinal[#Headers])</f>
        <v>87</v>
      </c>
      <c r="Q104" s="61">
        <f>IF(budgetFinal[row] &lt;= numCategories +3, budgetFinal[row]-1, MOD(budgetFinal[row]-1,numCategories+3) + IF(MOD(budgetFinal[row]-2,numCategories+2)&gt;numCategories+1, 1,0))</f>
        <v>9</v>
      </c>
      <c r="R104" s="60">
        <f>IFERROR(INDEX(directors[Last],MAX(1,FLOOR((budgetFinal[row]-1)/(numCategories+3)+1,1))),1)</f>
        <v>0</v>
      </c>
    </row>
    <row r="105" spans="1:18" ht="15" customHeight="1" x14ac:dyDescent="0.25">
      <c r="A105" s="105" t="str">
        <f ca="1"/>
        <v/>
      </c>
      <c r="B105" s="105">
        <f ca="1"/>
        <v>0</v>
      </c>
      <c r="C105" s="105">
        <f ca="1"/>
        <v>0</v>
      </c>
      <c r="D105" s="105">
        <f ca="1"/>
        <v>0</v>
      </c>
      <c r="E105" s="105">
        <f ca="1"/>
        <v>0</v>
      </c>
      <c r="F105" s="105">
        <f ca="1"/>
        <v>0</v>
      </c>
      <c r="G105" s="105">
        <f ca="1"/>
        <v>0</v>
      </c>
      <c r="H105" s="60"/>
      <c r="I105"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c>
      <c r="J105" s="60">
        <f>budgetMilestone1[[#This Row],[Milestone 1]]</f>
        <v>0</v>
      </c>
      <c r="K105" s="60">
        <f>budgetMilestone2[[#This Row],[Milestone 2]]</f>
        <v>0</v>
      </c>
      <c r="L105" s="60">
        <f>budgetMilestone3[[#This Row],[Milestone 3]]</f>
        <v>0</v>
      </c>
      <c r="M105" s="60">
        <f>budgetMilestone4[[#This Row],[Milestone 4]]</f>
        <v>0</v>
      </c>
      <c r="N105" s="60">
        <f>SUMIFS(ARF[Amount in Euro], ARF[Co Director],budgetFinal[director], ARF[Category], budgetFinal[Category], ARF[Date], "&gt;" &amp; cleanDateMilestone4,ARF[Date], "&lt;=" &amp; cleanDateFinal)</f>
        <v>0</v>
      </c>
      <c r="O105" s="60"/>
      <c r="P105" s="60">
        <f>ROW()-ROW(budgetFinal[#Headers])</f>
        <v>88</v>
      </c>
      <c r="Q105" s="60">
        <f>IF(budgetFinal[row] &lt;= numCategories +3, budgetFinal[row]-1, MOD(budgetFinal[row]-1,numCategories+3) + IF(MOD(budgetFinal[row]-2,numCategories+2)&gt;numCategories+1, 1,0))</f>
        <v>10</v>
      </c>
      <c r="R105" s="60">
        <f>IFERROR(INDEX(directors[Last],MAX(1,FLOOR((budgetFinal[row]-1)/(numCategories+3)+1,1))),1)</f>
        <v>0</v>
      </c>
    </row>
    <row r="106" spans="1:18" ht="15" customHeight="1" x14ac:dyDescent="0.25">
      <c r="A106" s="105" t="str">
        <f ca="1"/>
        <v xml:space="preserve">0 / </v>
      </c>
      <c r="B106" s="105">
        <f ca="1"/>
        <v>0</v>
      </c>
      <c r="C106" s="105">
        <f ca="1"/>
        <v>0</v>
      </c>
      <c r="D106" s="105">
        <f ca="1"/>
        <v>0</v>
      </c>
      <c r="E106" s="105">
        <f ca="1"/>
        <v>0</v>
      </c>
      <c r="F106" s="105">
        <f ca="1"/>
        <v>0</v>
      </c>
      <c r="G106" s="105">
        <f ca="1"/>
        <v>0</v>
      </c>
      <c r="H106" s="60"/>
      <c r="I106"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xml:space="preserve">0 / </v>
      </c>
      <c r="J106" s="60">
        <f>budgetMilestone1[[#This Row],[Milestone 1]]</f>
        <v>0</v>
      </c>
      <c r="K106" s="60">
        <f>budgetMilestone2[[#This Row],[Milestone 2]]</f>
        <v>0</v>
      </c>
      <c r="L106" s="60">
        <f>budgetMilestone3[[#This Row],[Milestone 3]]</f>
        <v>0</v>
      </c>
      <c r="M106" s="60">
        <f>budgetMilestone4[[#This Row],[Milestone 4]]</f>
        <v>0</v>
      </c>
      <c r="N106" s="60">
        <f>SUMIFS(ARF[Amount in Euro], ARF[Co Director],budgetFinal[director], ARF[Category], budgetFinal[Category], ARF[Date], "&gt;" &amp; cleanDateMilestone4,ARF[Date], "&lt;=" &amp; cleanDateFinal)</f>
        <v>0</v>
      </c>
      <c r="O106" s="60"/>
      <c r="P106" s="60">
        <f>ROW()-ROW(budgetFinal[#Headers])</f>
        <v>89</v>
      </c>
      <c r="Q106" s="60">
        <f>IF(budgetFinal[row] &lt;= numCategories +3, budgetFinal[row]-1, MOD(budgetFinal[row]-1,numCategories+3) + IF(MOD(budgetFinal[row]-2,numCategories+2)&gt;numCategories+1, 1,0))</f>
        <v>0</v>
      </c>
      <c r="R106" s="60">
        <f>IFERROR(INDEX(directors[Last],MAX(1,FLOOR((budgetFinal[row]-1)/(numCategories+3)+1,1))),1)</f>
        <v>0</v>
      </c>
    </row>
    <row r="107" spans="1:18" ht="15" customHeight="1" x14ac:dyDescent="0.25">
      <c r="A107" s="105" t="str">
        <f ca="1"/>
        <v>Equipment</v>
      </c>
      <c r="B107" s="105">
        <f ca="1"/>
        <v>0</v>
      </c>
      <c r="C107" s="105">
        <f ca="1"/>
        <v>0</v>
      </c>
      <c r="D107" s="105">
        <f ca="1"/>
        <v>0</v>
      </c>
      <c r="E107" s="105">
        <f ca="1"/>
        <v>0</v>
      </c>
      <c r="F107" s="105">
        <f ca="1"/>
        <v>0</v>
      </c>
      <c r="G107" s="105">
        <f ca="1"/>
        <v>0</v>
      </c>
      <c r="H107" s="60"/>
      <c r="I107"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Equipment</v>
      </c>
      <c r="J107" s="60">
        <f>budgetMilestone1[[#This Row],[Milestone 1]]</f>
        <v>0</v>
      </c>
      <c r="K107" s="60">
        <f>budgetMilestone2[[#This Row],[Milestone 2]]</f>
        <v>0</v>
      </c>
      <c r="L107" s="60">
        <f>budgetMilestone3[[#This Row],[Milestone 3]]</f>
        <v>0</v>
      </c>
      <c r="M107" s="60">
        <f>budgetMilestone4[[#This Row],[Milestone 4]]</f>
        <v>0</v>
      </c>
      <c r="N107" s="60">
        <f>SUMIFS(ARF[Amount in Euro], ARF[Co Director],budgetFinal[director], ARF[Category], budgetFinal[Category], ARF[Date], "&gt;" &amp; cleanDateMilestone4,ARF[Date], "&lt;=" &amp; cleanDateFinal)</f>
        <v>0</v>
      </c>
      <c r="O107" s="60">
        <f>SUM(budgetFinal[[#This Row],[Milestone 1]:[Final]])</f>
        <v>0</v>
      </c>
      <c r="P107" s="61">
        <f>ROW()-ROW(budgetFinal[#Headers])</f>
        <v>90</v>
      </c>
      <c r="Q107" s="61">
        <f>IF(budgetFinal[row] &lt;= numCategories +3, budgetFinal[row]-1, MOD(budgetFinal[row]-1,numCategories+3) + IF(MOD(budgetFinal[row]-2,numCategories+2)&gt;numCategories+1, 1,0))</f>
        <v>1</v>
      </c>
      <c r="R107" s="60">
        <f>IFERROR(INDEX(directors[Last],MAX(1,FLOOR((budgetFinal[row]-1)/(numCategories+3)+1,1))),1)</f>
        <v>0</v>
      </c>
    </row>
    <row r="108" spans="1:18" ht="15" customHeight="1" x14ac:dyDescent="0.25">
      <c r="A108" s="105" t="str">
        <f ca="1"/>
        <v>Training</v>
      </c>
      <c r="B108" s="105">
        <f ca="1"/>
        <v>0</v>
      </c>
      <c r="C108" s="105">
        <f ca="1"/>
        <v>0</v>
      </c>
      <c r="D108" s="105">
        <f ca="1"/>
        <v>0</v>
      </c>
      <c r="E108" s="105">
        <f ca="1"/>
        <v>0</v>
      </c>
      <c r="F108" s="105">
        <f ca="1"/>
        <v>0</v>
      </c>
      <c r="G108" s="105">
        <f ca="1"/>
        <v>0</v>
      </c>
      <c r="H108" s="60"/>
      <c r="I108"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Training</v>
      </c>
      <c r="J108" s="60">
        <f>budgetMilestone1[[#This Row],[Milestone 1]]</f>
        <v>0</v>
      </c>
      <c r="K108" s="60">
        <f>budgetMilestone2[[#This Row],[Milestone 2]]</f>
        <v>0</v>
      </c>
      <c r="L108" s="60">
        <f>budgetMilestone3[[#This Row],[Milestone 3]]</f>
        <v>0</v>
      </c>
      <c r="M108" s="60">
        <f>budgetMilestone4[[#This Row],[Milestone 4]]</f>
        <v>0</v>
      </c>
      <c r="N108" s="60">
        <f>SUMIFS(ARF[Amount in Euro], ARF[Co Director],budgetFinal[director], ARF[Category], budgetFinal[Category], ARF[Date], "&gt;" &amp; cleanDateMilestone4,ARF[Date], "&lt;=" &amp; cleanDateFinal)</f>
        <v>0</v>
      </c>
      <c r="O108" s="60">
        <f>SUM(budgetFinal[[#This Row],[Milestone 1]:[Final]])</f>
        <v>0</v>
      </c>
      <c r="P108" s="60">
        <f>ROW()-ROW(budgetFinal[#Headers])</f>
        <v>91</v>
      </c>
      <c r="Q108" s="60">
        <f>IF(budgetFinal[row] &lt;= numCategories +3, budgetFinal[row]-1, MOD(budgetFinal[row]-1,numCategories+3) + IF(MOD(budgetFinal[row]-2,numCategories+2)&gt;numCategories+1, 1,0))</f>
        <v>2</v>
      </c>
      <c r="R108" s="60">
        <f>IFERROR(INDEX(directors[Last],MAX(1,FLOOR((budgetFinal[row]-1)/(numCategories+3)+1,1))),1)</f>
        <v>0</v>
      </c>
    </row>
    <row r="109" spans="1:18" ht="15" customHeight="1" x14ac:dyDescent="0.25">
      <c r="A109" s="105" t="str">
        <f ca="1"/>
        <v>Communication &amp; Publication</v>
      </c>
      <c r="B109" s="105">
        <f ca="1"/>
        <v>0</v>
      </c>
      <c r="C109" s="105">
        <f ca="1"/>
        <v>0</v>
      </c>
      <c r="D109" s="105">
        <f ca="1"/>
        <v>0</v>
      </c>
      <c r="E109" s="105">
        <f ca="1"/>
        <v>0</v>
      </c>
      <c r="F109" s="105">
        <f ca="1"/>
        <v>0</v>
      </c>
      <c r="G109" s="105">
        <f ca="1"/>
        <v>0</v>
      </c>
      <c r="H109" s="60"/>
      <c r="I109"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Communication &amp; Publication</v>
      </c>
      <c r="J109" s="60">
        <f>budgetMilestone1[[#This Row],[Milestone 1]]</f>
        <v>0</v>
      </c>
      <c r="K109" s="60">
        <f>budgetMilestone2[[#This Row],[Milestone 2]]</f>
        <v>0</v>
      </c>
      <c r="L109" s="60">
        <f>budgetMilestone3[[#This Row],[Milestone 3]]</f>
        <v>0</v>
      </c>
      <c r="M109" s="60">
        <f>budgetMilestone4[[#This Row],[Milestone 4]]</f>
        <v>0</v>
      </c>
      <c r="N109" s="60">
        <f>SUMIFS(ARF[Amount in Euro], ARF[Co Director],budgetFinal[director], ARF[Category], budgetFinal[Category], ARF[Date], "&gt;" &amp; cleanDateMilestone4,ARF[Date], "&lt;=" &amp; cleanDateFinal)</f>
        <v>0</v>
      </c>
      <c r="O109" s="60">
        <f>SUM(budgetFinal[[#This Row],[Milestone 1]:[Final]])</f>
        <v>0</v>
      </c>
      <c r="P109" s="61">
        <f>ROW()-ROW(budgetFinal[#Headers])</f>
        <v>92</v>
      </c>
      <c r="Q109" s="61">
        <f>IF(budgetFinal[row] &lt;= numCategories +3, budgetFinal[row]-1, MOD(budgetFinal[row]-1,numCategories+3) + IF(MOD(budgetFinal[row]-2,numCategories+2)&gt;numCategories+1, 1,0))</f>
        <v>3</v>
      </c>
      <c r="R109" s="60">
        <f>IFERROR(INDEX(directors[Last],MAX(1,FLOOR((budgetFinal[row]-1)/(numCategories+3)+1,1))),1)</f>
        <v>0</v>
      </c>
    </row>
    <row r="110" spans="1:18" ht="15" customHeight="1" x14ac:dyDescent="0.25">
      <c r="A110" s="105" t="str">
        <f ca="1"/>
        <v>Travel</v>
      </c>
      <c r="B110" s="105">
        <f ca="1"/>
        <v>0</v>
      </c>
      <c r="C110" s="105">
        <f ca="1"/>
        <v>0</v>
      </c>
      <c r="D110" s="105">
        <f ca="1"/>
        <v>0</v>
      </c>
      <c r="E110" s="105">
        <f ca="1"/>
        <v>0</v>
      </c>
      <c r="F110" s="105">
        <f ca="1"/>
        <v>0</v>
      </c>
      <c r="G110" s="105">
        <f ca="1"/>
        <v>0</v>
      </c>
      <c r="H110" s="60"/>
      <c r="I110"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Travel</v>
      </c>
      <c r="J110" s="60">
        <f>budgetMilestone1[[#This Row],[Milestone 1]]</f>
        <v>0</v>
      </c>
      <c r="K110" s="60">
        <f>budgetMilestone2[[#This Row],[Milestone 2]]</f>
        <v>0</v>
      </c>
      <c r="L110" s="60">
        <f>budgetMilestone3[[#This Row],[Milestone 3]]</f>
        <v>0</v>
      </c>
      <c r="M110" s="60">
        <f>budgetMilestone4[[#This Row],[Milestone 4]]</f>
        <v>0</v>
      </c>
      <c r="N110" s="60">
        <f>SUMIFS(ARF[Amount in Euro], ARF[Co Director],budgetFinal[director], ARF[Category], budgetFinal[Category], ARF[Date], "&gt;" &amp; cleanDateMilestone4,ARF[Date], "&lt;=" &amp; cleanDateFinal)</f>
        <v>0</v>
      </c>
      <c r="O110" s="60">
        <f>SUM(budgetFinal[[#This Row],[Milestone 1]:[Final]])</f>
        <v>0</v>
      </c>
      <c r="P110" s="60">
        <f>ROW()-ROW(budgetFinal[#Headers])</f>
        <v>93</v>
      </c>
      <c r="Q110" s="60">
        <f>IF(budgetFinal[row] &lt;= numCategories +3, budgetFinal[row]-1, MOD(budgetFinal[row]-1,numCategories+3) + IF(MOD(budgetFinal[row]-2,numCategories+2)&gt;numCategories+1, 1,0))</f>
        <v>4</v>
      </c>
      <c r="R110" s="60">
        <f>IFERROR(INDEX(directors[Last],MAX(1,FLOOR((budgetFinal[row]-1)/(numCategories+3)+1,1))),1)</f>
        <v>0</v>
      </c>
    </row>
    <row r="111" spans="1:18" ht="15" customHeight="1" x14ac:dyDescent="0.25">
      <c r="A111" s="105" t="str">
        <f ca="1"/>
        <v>Consumables</v>
      </c>
      <c r="B111" s="105">
        <f ca="1"/>
        <v>0</v>
      </c>
      <c r="C111" s="105">
        <f ca="1"/>
        <v>0</v>
      </c>
      <c r="D111" s="105">
        <f ca="1"/>
        <v>0</v>
      </c>
      <c r="E111" s="105">
        <f ca="1"/>
        <v>0</v>
      </c>
      <c r="F111" s="105">
        <f ca="1"/>
        <v>0</v>
      </c>
      <c r="G111" s="105">
        <f ca="1"/>
        <v>0</v>
      </c>
      <c r="H111" s="60"/>
      <c r="I111"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Consumables</v>
      </c>
      <c r="J111" s="60">
        <f>budgetMilestone1[[#This Row],[Milestone 1]]</f>
        <v>0</v>
      </c>
      <c r="K111" s="60">
        <f>budgetMilestone2[[#This Row],[Milestone 2]]</f>
        <v>0</v>
      </c>
      <c r="L111" s="60">
        <f>budgetMilestone3[[#This Row],[Milestone 3]]</f>
        <v>0</v>
      </c>
      <c r="M111" s="60">
        <f>budgetMilestone4[[#This Row],[Milestone 4]]</f>
        <v>0</v>
      </c>
      <c r="N111" s="60">
        <f>SUMIFS(ARF[Amount in Euro], ARF[Co Director],budgetFinal[director], ARF[Category], budgetFinal[Category], ARF[Date], "&gt;" &amp; cleanDateMilestone4,ARF[Date], "&lt;=" &amp; cleanDateFinal)</f>
        <v>0</v>
      </c>
      <c r="O111" s="60">
        <f>SUM(budgetFinal[[#This Row],[Milestone 1]:[Final]])</f>
        <v>0</v>
      </c>
      <c r="P111" s="60">
        <f>ROW()-ROW(budgetFinal[#Headers])</f>
        <v>94</v>
      </c>
      <c r="Q111" s="60">
        <f>IF(budgetFinal[row] &lt;= numCategories +3, budgetFinal[row]-1, MOD(budgetFinal[row]-1,numCategories+3) + IF(MOD(budgetFinal[row]-2,numCategories+2)&gt;numCategories+1, 1,0))</f>
        <v>5</v>
      </c>
      <c r="R111" s="60">
        <f>IFERROR(INDEX(directors[Last],MAX(1,FLOOR((budgetFinal[row]-1)/(numCategories+3)+1,1))),1)</f>
        <v>0</v>
      </c>
    </row>
    <row r="112" spans="1:18" ht="15" customHeight="1" x14ac:dyDescent="0.25">
      <c r="A112" s="105" t="str">
        <f ca="1"/>
        <v>Other</v>
      </c>
      <c r="B112" s="105">
        <f ca="1"/>
        <v>0</v>
      </c>
      <c r="C112" s="105">
        <f ca="1"/>
        <v>0</v>
      </c>
      <c r="D112" s="105">
        <f ca="1"/>
        <v>0</v>
      </c>
      <c r="E112" s="105">
        <f ca="1"/>
        <v>0</v>
      </c>
      <c r="F112" s="105">
        <f ca="1"/>
        <v>0</v>
      </c>
      <c r="G112" s="105">
        <f ca="1"/>
        <v>0</v>
      </c>
      <c r="H112" s="60"/>
      <c r="I112"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Other</v>
      </c>
      <c r="J112" s="60">
        <f>budgetMilestone1[[#This Row],[Milestone 1]]</f>
        <v>0</v>
      </c>
      <c r="K112" s="60">
        <f>budgetMilestone2[[#This Row],[Milestone 2]]</f>
        <v>0</v>
      </c>
      <c r="L112" s="60">
        <f>budgetMilestone3[[#This Row],[Milestone 3]]</f>
        <v>0</v>
      </c>
      <c r="M112" s="60">
        <f>budgetMilestone4[[#This Row],[Milestone 4]]</f>
        <v>0</v>
      </c>
      <c r="N112" s="60">
        <f>SUMIFS(ARF[Amount in Euro], ARF[Co Director],budgetFinal[director], ARF[Category], budgetFinal[Category], ARF[Date], "&gt;" &amp; cleanDateMilestone4,ARF[Date], "&lt;=" &amp; cleanDateFinal)</f>
        <v>0</v>
      </c>
      <c r="O112" s="60">
        <f>SUM(budgetFinal[[#This Row],[Milestone 1]:[Final]])</f>
        <v>0</v>
      </c>
      <c r="P112" s="61">
        <f>ROW()-ROW(budgetFinal[#Headers])</f>
        <v>95</v>
      </c>
      <c r="Q112" s="61">
        <f>IF(budgetFinal[row] &lt;= numCategories +3, budgetFinal[row]-1, MOD(budgetFinal[row]-1,numCategories+3) + IF(MOD(budgetFinal[row]-2,numCategories+2)&gt;numCategories+1, 1,0))</f>
        <v>6</v>
      </c>
      <c r="R112" s="60">
        <f>IFERROR(INDEX(directors[Last],MAX(1,FLOOR((budgetFinal[row]-1)/(numCategories+3)+1,1))),1)</f>
        <v>0</v>
      </c>
    </row>
    <row r="113" spans="1:18" ht="15" customHeight="1" x14ac:dyDescent="0.25">
      <c r="A113" s="105" t="str">
        <f ca="1"/>
        <v>Stipends</v>
      </c>
      <c r="B113" s="105">
        <f ca="1"/>
        <v>0</v>
      </c>
      <c r="C113" s="105">
        <f ca="1"/>
        <v>0</v>
      </c>
      <c r="D113" s="105">
        <f ca="1"/>
        <v>0</v>
      </c>
      <c r="E113" s="105">
        <f ca="1"/>
        <v>0</v>
      </c>
      <c r="F113" s="105">
        <f ca="1"/>
        <v>0</v>
      </c>
      <c r="G113" s="105">
        <f ca="1"/>
        <v>0</v>
      </c>
      <c r="H113" s="60"/>
      <c r="I113"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Stipends</v>
      </c>
      <c r="J113" s="60">
        <f>budgetMilestone1[[#This Row],[Milestone 1]]</f>
        <v>0</v>
      </c>
      <c r="K113" s="60">
        <f>budgetMilestone2[[#This Row],[Milestone 2]]</f>
        <v>0</v>
      </c>
      <c r="L113" s="60">
        <f>budgetMilestone3[[#This Row],[Milestone 3]]</f>
        <v>0</v>
      </c>
      <c r="M113" s="60">
        <f>budgetMilestone4[[#This Row],[Milestone 4]]</f>
        <v>0</v>
      </c>
      <c r="N113" s="60">
        <f>SUMIFS(ARF[Amount in Euro], ARF[Co Director],budgetFinal[director], ARF[Category], budgetFinal[Category], ARF[Date], "&gt;" &amp; cleanDateMilestone4,ARF[Date], "&lt;=" &amp; cleanDateFinal)</f>
        <v>0</v>
      </c>
      <c r="O113" s="60">
        <f>SUM(budgetFinal[[#This Row],[Milestone 1]:[Final]])</f>
        <v>0</v>
      </c>
      <c r="P113" s="61">
        <f>ROW()-ROW(budgetFinal[#Headers])</f>
        <v>96</v>
      </c>
      <c r="Q113" s="61">
        <f>IF(budgetFinal[row] &lt;= numCategories +3, budgetFinal[row]-1, MOD(budgetFinal[row]-1,numCategories+3) + IF(MOD(budgetFinal[row]-2,numCategories+2)&gt;numCategories+1, 1,0))</f>
        <v>7</v>
      </c>
      <c r="R113" s="60">
        <f>IFERROR(INDEX(directors[Last],MAX(1,FLOOR((budgetFinal[row]-1)/(numCategories+3)+1,1))),1)</f>
        <v>0</v>
      </c>
    </row>
    <row r="114" spans="1:18" ht="15" customHeight="1" x14ac:dyDescent="0.25">
      <c r="A114" s="105" t="str">
        <f ca="1"/>
        <v>Co-financing of personnel</v>
      </c>
      <c r="B114" s="105">
        <f ca="1"/>
        <v>0</v>
      </c>
      <c r="C114" s="105">
        <f ca="1"/>
        <v>0</v>
      </c>
      <c r="D114" s="105">
        <f ca="1"/>
        <v>0</v>
      </c>
      <c r="E114" s="105">
        <f ca="1"/>
        <v>0</v>
      </c>
      <c r="F114" s="105">
        <f ca="1"/>
        <v>0</v>
      </c>
      <c r="G114" s="105">
        <f ca="1"/>
        <v>0</v>
      </c>
      <c r="H114" s="60"/>
      <c r="I114" s="60"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Co-financing of personnel</v>
      </c>
      <c r="J114" s="60">
        <f>budgetMilestone1[[#This Row],[Milestone 1]]</f>
        <v>0</v>
      </c>
      <c r="K114" s="60">
        <f>budgetMilestone2[[#This Row],[Milestone 2]]</f>
        <v>0</v>
      </c>
      <c r="L114" s="60">
        <f>budgetMilestone3[[#This Row],[Milestone 3]]</f>
        <v>0</v>
      </c>
      <c r="M114" s="60">
        <f>budgetMilestone4[[#This Row],[Milestone 4]]</f>
        <v>0</v>
      </c>
      <c r="N114" s="60">
        <f>SUMIFS(ARF[Amount in Euro], ARF[Co Director],budgetFinal[director], ARF[Category], budgetFinal[Category], ARF[Date], "&gt;" &amp; cleanDateMilestone4,ARF[Date], "&lt;=" &amp; cleanDateFinal)</f>
        <v>0</v>
      </c>
      <c r="O114" s="60">
        <f>SUM(budgetFinal[[#This Row],[Milestone 1]:[Final]])</f>
        <v>0</v>
      </c>
      <c r="P114" s="60">
        <f>ROW()-ROW(budgetFinal[#Headers])</f>
        <v>97</v>
      </c>
      <c r="Q114" s="60">
        <f>IF(budgetFinal[row] &lt;= numCategories +3, budgetFinal[row]-1, MOD(budgetFinal[row]-1,numCategories+3) + IF(MOD(budgetFinal[row]-2,numCategories+2)&gt;numCategories+1, 1,0))</f>
        <v>8</v>
      </c>
      <c r="R114" s="60">
        <f>IFERROR(INDEX(directors[Last],MAX(1,FLOOR((budgetFinal[row]-1)/(numCategories+3)+1,1))),1)</f>
        <v>0</v>
      </c>
    </row>
    <row r="115" spans="1:18" ht="15" customHeight="1" x14ac:dyDescent="0.25">
      <c r="A115" s="105" t="str">
        <f ca="1"/>
        <v>Subtotal 0</v>
      </c>
      <c r="B115" s="105">
        <f ca="1"/>
        <v>0</v>
      </c>
      <c r="C115" s="105">
        <f ca="1"/>
        <v>0</v>
      </c>
      <c r="D115" s="105">
        <f ca="1"/>
        <v>0</v>
      </c>
      <c r="E115" s="105">
        <f ca="1"/>
        <v>0</v>
      </c>
      <c r="F115" s="105">
        <f ca="1"/>
        <v>0</v>
      </c>
      <c r="G115" s="105">
        <f ca="1"/>
        <v>0</v>
      </c>
      <c r="H115" s="60"/>
      <c r="I115"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Subtotal 0</v>
      </c>
      <c r="J115" s="60">
        <f>budgetMilestone1[[#This Row],[Milestone 1]]</f>
        <v>0</v>
      </c>
      <c r="K115" s="60">
        <f>budgetMilestone2[[#This Row],[Milestone 2]]</f>
        <v>0</v>
      </c>
      <c r="L115" s="60">
        <f>budgetMilestone3[[#This Row],[Milestone 3]]</f>
        <v>0</v>
      </c>
      <c r="M115" s="60">
        <f>budgetMilestone4[[#This Row],[Milestone 4]]</f>
        <v>0</v>
      </c>
      <c r="N115" s="60">
        <f t="shared" ref="N115:O115" si="7">SUBTOTAL(9,N107:N114)</f>
        <v>0</v>
      </c>
      <c r="O115" s="60">
        <f t="shared" si="7"/>
        <v>0</v>
      </c>
      <c r="P115" s="61">
        <f>ROW()-ROW(budgetFinal[#Headers])</f>
        <v>98</v>
      </c>
      <c r="Q115" s="61">
        <f>IF(budgetFinal[row] &lt;= numCategories +3, budgetFinal[row]-1, MOD(budgetFinal[row]-1,numCategories+3) + IF(MOD(budgetFinal[row]-2,numCategories+2)&gt;numCategories+1, 1,0))</f>
        <v>9</v>
      </c>
      <c r="R115" s="60">
        <f>IFERROR(INDEX(directors[Last],MAX(1,FLOOR((budgetFinal[row]-1)/(numCategories+3)+1,1))),1)</f>
        <v>0</v>
      </c>
    </row>
    <row r="116" spans="1:18" ht="15" customHeight="1" x14ac:dyDescent="0.25">
      <c r="A116" s="105" t="str">
        <f ca="1"/>
        <v/>
      </c>
      <c r="B116" s="105">
        <f ca="1"/>
        <v>0</v>
      </c>
      <c r="C116" s="105">
        <f ca="1"/>
        <v>0</v>
      </c>
      <c r="D116" s="105">
        <f ca="1"/>
        <v>0</v>
      </c>
      <c r="E116" s="105">
        <f ca="1"/>
        <v>0</v>
      </c>
      <c r="F116" s="105">
        <f ca="1"/>
        <v>0</v>
      </c>
      <c r="G116" s="105">
        <f ca="1"/>
        <v>0</v>
      </c>
      <c r="H116" s="60"/>
      <c r="I116"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c>
      <c r="J116" s="60">
        <f>budgetMilestone1[[#This Row],[Milestone 1]]</f>
        <v>0</v>
      </c>
      <c r="K116" s="60">
        <f>budgetMilestone2[[#This Row],[Milestone 2]]</f>
        <v>0</v>
      </c>
      <c r="L116" s="60">
        <f>budgetMilestone3[[#This Row],[Milestone 3]]</f>
        <v>0</v>
      </c>
      <c r="M116" s="60">
        <f>budgetMilestone4[[#This Row],[Milestone 4]]</f>
        <v>0</v>
      </c>
      <c r="N116" s="60">
        <f>SUMIFS(ARF[Amount in Euro], ARF[Co Director],budgetFinal[director], ARF[Category], budgetFinal[Category], ARF[Date], "&gt;" &amp; cleanDateMilestone4,ARF[Date], "&lt;=" &amp; cleanDateFinal)</f>
        <v>0</v>
      </c>
      <c r="O116" s="60"/>
      <c r="P116" s="61">
        <f>ROW()-ROW(budgetFinal[#Headers])</f>
        <v>99</v>
      </c>
      <c r="Q116" s="61">
        <f>IF(budgetFinal[row] &lt;= numCategories +3, budgetFinal[row]-1, MOD(budgetFinal[row]-1,numCategories+3) + IF(MOD(budgetFinal[row]-2,numCategories+2)&gt;numCategories+1, 1,0))</f>
        <v>10</v>
      </c>
      <c r="R116" s="60">
        <f>IFERROR(INDEX(directors[Last],MAX(1,FLOOR((budgetFinal[row]-1)/(numCategories+3)+1,1))),1)</f>
        <v>0</v>
      </c>
    </row>
    <row r="117" spans="1:18" ht="15" customHeight="1" x14ac:dyDescent="0.25">
      <c r="A117" s="119" t="str">
        <f ca="1"/>
        <v xml:space="preserve">0 / </v>
      </c>
      <c r="B117" s="119">
        <f ca="1"/>
        <v>0</v>
      </c>
      <c r="C117" s="119">
        <f ca="1"/>
        <v>0</v>
      </c>
      <c r="D117" s="119">
        <f ca="1"/>
        <v>0</v>
      </c>
      <c r="E117" s="119">
        <f ca="1"/>
        <v>0</v>
      </c>
      <c r="F117" s="119">
        <f ca="1"/>
        <v>0</v>
      </c>
      <c r="G117" s="119">
        <f ca="1"/>
        <v>0</v>
      </c>
      <c r="H117" s="60"/>
      <c r="I117"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 xml:space="preserve">0 / </v>
      </c>
      <c r="J117" s="60">
        <f>budgetMilestone1[[#This Row],[Milestone 1]]</f>
        <v>0</v>
      </c>
      <c r="K117" s="60">
        <f>budgetMilestone2[[#This Row],[Milestone 2]]</f>
        <v>0</v>
      </c>
      <c r="L117" s="60">
        <f>budgetMilestone3[[#This Row],[Milestone 3]]</f>
        <v>0</v>
      </c>
      <c r="M117" s="60">
        <f>budgetMilestone4[[#This Row],[Milestone 4]]</f>
        <v>0</v>
      </c>
      <c r="N117" s="60">
        <f t="shared" ref="N117" si="8">SUBTOTAL(9,N110:N116)</f>
        <v>0</v>
      </c>
      <c r="O117" s="60"/>
      <c r="P117" s="61">
        <f>ROW()-ROW(budgetFinal[#Headers])</f>
        <v>100</v>
      </c>
      <c r="Q117" s="61">
        <f>IF(budgetFinal[row] &lt;= numCategories +3, budgetFinal[row]-1, MOD(budgetFinal[row]-1,numCategories+3) + IF(MOD(budgetFinal[row]-2,numCategories+2)&gt;numCategories+1, 1,0))</f>
        <v>0</v>
      </c>
      <c r="R117" s="60">
        <f>IFERROR(INDEX(directors[Last],MAX(1,FLOOR((budgetFinal[row]-1)/(numCategories+3)+1,1))),1)</f>
        <v>0</v>
      </c>
    </row>
    <row r="118" spans="1:18" ht="15" customHeight="1" x14ac:dyDescent="0.25">
      <c r="A118" s="119" t="str">
        <f ca="1"/>
        <v>Equipment</v>
      </c>
      <c r="B118" s="119">
        <f ca="1"/>
        <v>0</v>
      </c>
      <c r="C118" s="119">
        <f ca="1"/>
        <v>0</v>
      </c>
      <c r="D118" s="119">
        <f ca="1"/>
        <v>0</v>
      </c>
      <c r="E118" s="119">
        <f ca="1"/>
        <v>0</v>
      </c>
      <c r="F118" s="119">
        <f ca="1"/>
        <v>0</v>
      </c>
      <c r="G118" s="119">
        <f ca="1"/>
        <v>0</v>
      </c>
      <c r="H118" s="60"/>
      <c r="I118"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Equipment</v>
      </c>
      <c r="J118" s="60">
        <f>budgetMilestone1[[#This Row],[Milestone 1]]</f>
        <v>0</v>
      </c>
      <c r="K118" s="60">
        <f>budgetMilestone2[[#This Row],[Milestone 2]]</f>
        <v>0</v>
      </c>
      <c r="L118" s="60">
        <f>budgetMilestone3[[#This Row],[Milestone 3]]</f>
        <v>0</v>
      </c>
      <c r="M118" s="60">
        <f>budgetMilestone4[[#This Row],[Milestone 4]]</f>
        <v>0</v>
      </c>
      <c r="N118" s="60">
        <f>SUMIFS(ARF[Amount in Euro], ARF[Co Director],budgetFinal[director], ARF[Category], budgetFinal[Category], ARF[Date], "&gt;" &amp; cleanDateMilestone4,ARF[Date], "&lt;=" &amp; cleanDateFinal)</f>
        <v>0</v>
      </c>
      <c r="O118" s="60">
        <f>SUM(budgetFinal[[#This Row],[Milestone 1]:[Final]])</f>
        <v>0</v>
      </c>
      <c r="P118" s="179">
        <f>ROW()-ROW(budgetFinal[#Headers])</f>
        <v>101</v>
      </c>
      <c r="Q118" s="179">
        <f>IF(budgetFinal[row] &lt;= numCategories +3, budgetFinal[row]-1, MOD(budgetFinal[row]-1,numCategories+3) + IF(MOD(budgetFinal[row]-2,numCategories+2)&gt;numCategories+1, 1,0))</f>
        <v>1</v>
      </c>
      <c r="R118" s="60">
        <f>IFERROR(INDEX(directors[Last],MAX(1,FLOOR((budgetFinal[row]-1)/(numCategories+3)+1,1))),1)</f>
        <v>0</v>
      </c>
    </row>
    <row r="119" spans="1:18" x14ac:dyDescent="0.25">
      <c r="A119" s="119" t="str">
        <f ca="1"/>
        <v>Training</v>
      </c>
      <c r="B119" s="119">
        <f ca="1"/>
        <v>0</v>
      </c>
      <c r="C119" s="119">
        <f ca="1"/>
        <v>0</v>
      </c>
      <c r="D119" s="119">
        <f ca="1"/>
        <v>0</v>
      </c>
      <c r="E119" s="119">
        <f ca="1"/>
        <v>0</v>
      </c>
      <c r="F119" s="119">
        <f ca="1"/>
        <v>0</v>
      </c>
      <c r="G119" s="119">
        <f ca="1"/>
        <v>0</v>
      </c>
      <c r="I119"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Training</v>
      </c>
      <c r="J119" s="60">
        <f>budgetMilestone1[[#This Row],[Milestone 1]]</f>
        <v>0</v>
      </c>
      <c r="K119" s="60">
        <f>budgetMilestone2[[#This Row],[Milestone 2]]</f>
        <v>0</v>
      </c>
      <c r="L119" s="60">
        <f>budgetMilestone3[[#This Row],[Milestone 3]]</f>
        <v>0</v>
      </c>
      <c r="M119" s="60">
        <f>budgetMilestone4[[#This Row],[Milestone 4]]</f>
        <v>0</v>
      </c>
      <c r="N119" s="60">
        <f>SUMIFS(ARF[Amount in Euro], ARF[Co Director],budgetFinal[director], ARF[Category], budgetFinal[Category], ARF[Date], "&gt;" &amp; cleanDateMilestone4,ARF[Date], "&lt;=" &amp; cleanDateFinal)</f>
        <v>0</v>
      </c>
      <c r="O119" s="60">
        <f>SUM(budgetFinal[[#This Row],[Milestone 1]:[Final]])</f>
        <v>0</v>
      </c>
      <c r="P119" s="179">
        <f>ROW()-ROW(budgetFinal[#Headers])</f>
        <v>102</v>
      </c>
      <c r="Q119" s="179">
        <f>IF(budgetFinal[row] &lt;= numCategories +3, budgetFinal[row]-1, MOD(budgetFinal[row]-1,numCategories+3) + IF(MOD(budgetFinal[row]-2,numCategories+2)&gt;numCategories+1, 1,0))</f>
        <v>2</v>
      </c>
      <c r="R119" s="60">
        <f>IFERROR(INDEX(directors[Last],MAX(1,FLOOR((budgetFinal[row]-1)/(numCategories+3)+1,1))),1)</f>
        <v>0</v>
      </c>
    </row>
    <row r="120" spans="1:18" x14ac:dyDescent="0.25">
      <c r="A120" s="119" t="str">
        <f ca="1"/>
        <v>Communication &amp; Publication</v>
      </c>
      <c r="B120" s="119">
        <f ca="1"/>
        <v>0</v>
      </c>
      <c r="C120" s="119">
        <f ca="1"/>
        <v>0</v>
      </c>
      <c r="D120" s="119">
        <f ca="1"/>
        <v>0</v>
      </c>
      <c r="E120" s="119">
        <f ca="1"/>
        <v>0</v>
      </c>
      <c r="F120" s="119">
        <f ca="1"/>
        <v>0</v>
      </c>
      <c r="G120" s="119">
        <f ca="1"/>
        <v>0</v>
      </c>
      <c r="I120"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Communication &amp; Publication</v>
      </c>
      <c r="J120" s="60">
        <f>budgetMilestone1[[#This Row],[Milestone 1]]</f>
        <v>0</v>
      </c>
      <c r="K120" s="60">
        <f>budgetMilestone2[[#This Row],[Milestone 2]]</f>
        <v>0</v>
      </c>
      <c r="L120" s="60">
        <f>budgetMilestone3[[#This Row],[Milestone 3]]</f>
        <v>0</v>
      </c>
      <c r="M120" s="60">
        <f>budgetMilestone4[[#This Row],[Milestone 4]]</f>
        <v>0</v>
      </c>
      <c r="N120" s="60">
        <f>SUMIFS(ARF[Amount in Euro], ARF[Co Director],budgetFinal[director], ARF[Category], budgetFinal[Category], ARF[Date], "&gt;" &amp; cleanDateMilestone4,ARF[Date], "&lt;=" &amp; cleanDateFinal)</f>
        <v>0</v>
      </c>
      <c r="O120" s="60">
        <f>SUM(budgetFinal[[#This Row],[Milestone 1]:[Final]])</f>
        <v>0</v>
      </c>
      <c r="P120" s="179">
        <f>ROW()-ROW(budgetFinal[#Headers])</f>
        <v>103</v>
      </c>
      <c r="Q120" s="179">
        <f>IF(budgetFinal[row] &lt;= numCategories +3, budgetFinal[row]-1, MOD(budgetFinal[row]-1,numCategories+3) + IF(MOD(budgetFinal[row]-2,numCategories+2)&gt;numCategories+1, 1,0))</f>
        <v>3</v>
      </c>
      <c r="R120" s="60">
        <f>IFERROR(INDEX(directors[Last],MAX(1,FLOOR((budgetFinal[row]-1)/(numCategories+3)+1,1))),1)</f>
        <v>0</v>
      </c>
    </row>
    <row r="121" spans="1:18" x14ac:dyDescent="0.25">
      <c r="A121" s="119" t="str">
        <f ca="1"/>
        <v>Travel</v>
      </c>
      <c r="B121" s="119">
        <f ca="1"/>
        <v>0</v>
      </c>
      <c r="C121" s="119">
        <f ca="1"/>
        <v>0</v>
      </c>
      <c r="D121" s="119">
        <f ca="1"/>
        <v>0</v>
      </c>
      <c r="E121" s="119">
        <f ca="1"/>
        <v>0</v>
      </c>
      <c r="F121" s="119">
        <f ca="1"/>
        <v>0</v>
      </c>
      <c r="G121" s="119">
        <f ca="1"/>
        <v>0</v>
      </c>
      <c r="I121"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Travel</v>
      </c>
      <c r="J121" s="60">
        <f>budgetMilestone1[[#This Row],[Milestone 1]]</f>
        <v>0</v>
      </c>
      <c r="K121" s="60">
        <f>budgetMilestone2[[#This Row],[Milestone 2]]</f>
        <v>0</v>
      </c>
      <c r="L121" s="60">
        <f>budgetMilestone3[[#This Row],[Milestone 3]]</f>
        <v>0</v>
      </c>
      <c r="M121" s="60">
        <f>budgetMilestone4[[#This Row],[Milestone 4]]</f>
        <v>0</v>
      </c>
      <c r="N121" s="60">
        <f>SUMIFS(ARF[Amount in Euro], ARF[Co Director],budgetFinal[director], ARF[Category], budgetFinal[Category], ARF[Date], "&gt;" &amp; cleanDateMilestone4,ARF[Date], "&lt;=" &amp; cleanDateFinal)</f>
        <v>0</v>
      </c>
      <c r="O121" s="60">
        <f>SUM(budgetFinal[[#This Row],[Milestone 1]:[Final]])</f>
        <v>0</v>
      </c>
      <c r="P121" s="179">
        <f>ROW()-ROW(budgetFinal[#Headers])</f>
        <v>104</v>
      </c>
      <c r="Q121" s="179">
        <f>IF(budgetFinal[row] &lt;= numCategories +3, budgetFinal[row]-1, MOD(budgetFinal[row]-1,numCategories+3) + IF(MOD(budgetFinal[row]-2,numCategories+2)&gt;numCategories+1, 1,0))</f>
        <v>4</v>
      </c>
      <c r="R121" s="60">
        <f>IFERROR(INDEX(directors[Last],MAX(1,FLOOR((budgetFinal[row]-1)/(numCategories+3)+1,1))),1)</f>
        <v>0</v>
      </c>
    </row>
    <row r="122" spans="1:18" x14ac:dyDescent="0.25">
      <c r="A122" s="119" t="str">
        <f ca="1"/>
        <v>Consumables</v>
      </c>
      <c r="B122" s="119">
        <f ca="1"/>
        <v>0</v>
      </c>
      <c r="C122" s="119">
        <f ca="1"/>
        <v>0</v>
      </c>
      <c r="D122" s="119">
        <f ca="1"/>
        <v>0</v>
      </c>
      <c r="E122" s="119">
        <f ca="1"/>
        <v>0</v>
      </c>
      <c r="F122" s="119">
        <f ca="1"/>
        <v>0</v>
      </c>
      <c r="G122" s="119">
        <f ca="1"/>
        <v>0</v>
      </c>
      <c r="I122"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Consumables</v>
      </c>
      <c r="J122" s="60">
        <f>budgetMilestone1[[#This Row],[Milestone 1]]</f>
        <v>0</v>
      </c>
      <c r="K122" s="60">
        <f>budgetMilestone2[[#This Row],[Milestone 2]]</f>
        <v>0</v>
      </c>
      <c r="L122" s="60">
        <f>budgetMilestone3[[#This Row],[Milestone 3]]</f>
        <v>0</v>
      </c>
      <c r="M122" s="60">
        <f>budgetMilestone4[[#This Row],[Milestone 4]]</f>
        <v>0</v>
      </c>
      <c r="N122" s="60">
        <f>SUMIFS(ARF[Amount in Euro], ARF[Co Director],budgetFinal[director], ARF[Category], budgetFinal[Category], ARF[Date], "&gt;" &amp; cleanDateMilestone4,ARF[Date], "&lt;=" &amp; cleanDateFinal)</f>
        <v>0</v>
      </c>
      <c r="O122" s="60">
        <f>SUM(budgetFinal[[#This Row],[Milestone 1]:[Final]])</f>
        <v>0</v>
      </c>
      <c r="P122" s="179">
        <f>ROW()-ROW(budgetFinal[#Headers])</f>
        <v>105</v>
      </c>
      <c r="Q122" s="179">
        <f>IF(budgetFinal[row] &lt;= numCategories +3, budgetFinal[row]-1, MOD(budgetFinal[row]-1,numCategories+3) + IF(MOD(budgetFinal[row]-2,numCategories+2)&gt;numCategories+1, 1,0))</f>
        <v>5</v>
      </c>
      <c r="R122" s="60">
        <f>IFERROR(INDEX(directors[Last],MAX(1,FLOOR((budgetFinal[row]-1)/(numCategories+3)+1,1))),1)</f>
        <v>0</v>
      </c>
    </row>
    <row r="123" spans="1:18" x14ac:dyDescent="0.25">
      <c r="A123" s="119" t="str">
        <f ca="1"/>
        <v>Other</v>
      </c>
      <c r="B123" s="119">
        <f ca="1"/>
        <v>0</v>
      </c>
      <c r="C123" s="119">
        <f ca="1"/>
        <v>0</v>
      </c>
      <c r="D123" s="119">
        <f ca="1"/>
        <v>0</v>
      </c>
      <c r="E123" s="119">
        <f ca="1"/>
        <v>0</v>
      </c>
      <c r="F123" s="119">
        <f ca="1"/>
        <v>0</v>
      </c>
      <c r="G123" s="119">
        <f ca="1"/>
        <v>0</v>
      </c>
      <c r="I123"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Other</v>
      </c>
      <c r="J123" s="60">
        <f>budgetMilestone1[[#This Row],[Milestone 1]]</f>
        <v>0</v>
      </c>
      <c r="K123" s="60">
        <f>budgetMilestone2[[#This Row],[Milestone 2]]</f>
        <v>0</v>
      </c>
      <c r="L123" s="60">
        <f>budgetMilestone3[[#This Row],[Milestone 3]]</f>
        <v>0</v>
      </c>
      <c r="M123" s="60">
        <f>budgetMilestone4[[#This Row],[Milestone 4]]</f>
        <v>0</v>
      </c>
      <c r="N123" s="60">
        <f>SUMIFS(ARF[Amount in Euro], ARF[Co Director],budgetFinal[director], ARF[Category], budgetFinal[Category], ARF[Date], "&gt;" &amp; cleanDateMilestone4,ARF[Date], "&lt;=" &amp; cleanDateFinal)</f>
        <v>0</v>
      </c>
      <c r="O123" s="60">
        <f>SUM(budgetFinal[[#This Row],[Milestone 1]:[Final]])</f>
        <v>0</v>
      </c>
      <c r="P123" s="179">
        <f>ROW()-ROW(budgetFinal[#Headers])</f>
        <v>106</v>
      </c>
      <c r="Q123" s="179">
        <f>IF(budgetFinal[row] &lt;= numCategories +3, budgetFinal[row]-1, MOD(budgetFinal[row]-1,numCategories+3) + IF(MOD(budgetFinal[row]-2,numCategories+2)&gt;numCategories+1, 1,0))</f>
        <v>6</v>
      </c>
      <c r="R123" s="60">
        <f>IFERROR(INDEX(directors[Last],MAX(1,FLOOR((budgetFinal[row]-1)/(numCategories+3)+1,1))),1)</f>
        <v>0</v>
      </c>
    </row>
    <row r="124" spans="1:18" x14ac:dyDescent="0.25">
      <c r="A124" s="119" t="str">
        <f ca="1"/>
        <v>Stipends</v>
      </c>
      <c r="B124" s="119">
        <f ca="1"/>
        <v>0</v>
      </c>
      <c r="C124" s="119">
        <f ca="1"/>
        <v>0</v>
      </c>
      <c r="D124" s="119">
        <f ca="1"/>
        <v>0</v>
      </c>
      <c r="E124" s="119">
        <f ca="1"/>
        <v>0</v>
      </c>
      <c r="F124" s="119">
        <f ca="1"/>
        <v>0</v>
      </c>
      <c r="G124" s="119">
        <f ca="1"/>
        <v>0</v>
      </c>
      <c r="I124"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Stipends</v>
      </c>
      <c r="J124" s="60">
        <f>budgetMilestone1[[#This Row],[Milestone 1]]</f>
        <v>0</v>
      </c>
      <c r="K124" s="60">
        <f>budgetMilestone2[[#This Row],[Milestone 2]]</f>
        <v>0</v>
      </c>
      <c r="L124" s="60">
        <f>budgetMilestone3[[#This Row],[Milestone 3]]</f>
        <v>0</v>
      </c>
      <c r="M124" s="60">
        <f>budgetMilestone4[[#This Row],[Milestone 4]]</f>
        <v>0</v>
      </c>
      <c r="N124" s="60">
        <f>SUMIFS(ARF[Amount in Euro], ARF[Co Director],budgetFinal[director], ARF[Category], budgetFinal[Category], ARF[Date], "&gt;" &amp; cleanDateMilestone4,ARF[Date], "&lt;=" &amp; cleanDateFinal)</f>
        <v>0</v>
      </c>
      <c r="O124" s="60">
        <f>SUM(budgetFinal[[#This Row],[Milestone 1]:[Final]])</f>
        <v>0</v>
      </c>
      <c r="P124" s="179">
        <f>ROW()-ROW(budgetFinal[#Headers])</f>
        <v>107</v>
      </c>
      <c r="Q124" s="179">
        <f>IF(budgetFinal[row] &lt;= numCategories +3, budgetFinal[row]-1, MOD(budgetFinal[row]-1,numCategories+3) + IF(MOD(budgetFinal[row]-2,numCategories+2)&gt;numCategories+1, 1,0))</f>
        <v>7</v>
      </c>
      <c r="R124" s="60">
        <f>IFERROR(INDEX(directors[Last],MAX(1,FLOOR((budgetFinal[row]-1)/(numCategories+3)+1,1))),1)</f>
        <v>0</v>
      </c>
    </row>
    <row r="125" spans="1:18" x14ac:dyDescent="0.25">
      <c r="A125" s="119" t="str">
        <f ca="1"/>
        <v>Co-financing of personnel</v>
      </c>
      <c r="B125" s="119">
        <f ca="1"/>
        <v>0</v>
      </c>
      <c r="C125" s="119">
        <f ca="1"/>
        <v>0</v>
      </c>
      <c r="D125" s="119">
        <f ca="1"/>
        <v>0</v>
      </c>
      <c r="E125" s="119">
        <f ca="1"/>
        <v>0</v>
      </c>
      <c r="F125" s="119">
        <f ca="1"/>
        <v>0</v>
      </c>
      <c r="G125" s="119">
        <f ca="1"/>
        <v>0</v>
      </c>
      <c r="I125"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Co-financing of personnel</v>
      </c>
      <c r="J125" s="60">
        <f>budgetMilestone1[[#This Row],[Milestone 1]]</f>
        <v>0</v>
      </c>
      <c r="K125" s="60">
        <f>budgetMilestone2[[#This Row],[Milestone 2]]</f>
        <v>0</v>
      </c>
      <c r="L125" s="60">
        <f>budgetMilestone3[[#This Row],[Milestone 3]]</f>
        <v>0</v>
      </c>
      <c r="M125" s="60">
        <f>budgetMilestone4[[#This Row],[Milestone 4]]</f>
        <v>0</v>
      </c>
      <c r="N125" s="60">
        <f>SUMIFS(ARF[Amount in Euro], ARF[Co Director],budgetFinal[director], ARF[Category], budgetFinal[Category], ARF[Date], "&gt;" &amp; cleanDateMilestone4,ARF[Date], "&lt;=" &amp; cleanDateFinal)</f>
        <v>0</v>
      </c>
      <c r="O125" s="60">
        <f>SUM(budgetFinal[[#This Row],[Milestone 1]:[Final]])</f>
        <v>0</v>
      </c>
      <c r="P125" s="179">
        <f>ROW()-ROW(budgetFinal[#Headers])</f>
        <v>108</v>
      </c>
      <c r="Q125" s="179">
        <f>IF(budgetFinal[row] &lt;= numCategories +3, budgetFinal[row]-1, MOD(budgetFinal[row]-1,numCategories+3) + IF(MOD(budgetFinal[row]-2,numCategories+2)&gt;numCategories+1, 1,0))</f>
        <v>8</v>
      </c>
      <c r="R125" s="60">
        <f>IFERROR(INDEX(directors[Last],MAX(1,FLOOR((budgetFinal[row]-1)/(numCategories+3)+1,1))),1)</f>
        <v>0</v>
      </c>
    </row>
    <row r="126" spans="1:18" x14ac:dyDescent="0.25">
      <c r="A126" s="119" t="str">
        <f ca="1"/>
        <v>Subtotal 0</v>
      </c>
      <c r="B126" s="119">
        <f ca="1"/>
        <v>0</v>
      </c>
      <c r="C126" s="119">
        <f ca="1"/>
        <v>0</v>
      </c>
      <c r="D126" s="119">
        <f ca="1"/>
        <v>0</v>
      </c>
      <c r="E126" s="119">
        <f ca="1"/>
        <v>0</v>
      </c>
      <c r="F126" s="119">
        <f ca="1"/>
        <v>0</v>
      </c>
      <c r="G126" s="119">
        <f ca="1"/>
        <v>0</v>
      </c>
      <c r="I126" s="61" t="str">
        <f>IF(budgetFinal[catIndex]=0, budgetFinal[director] &amp; " / " &amp; INDEX(directors[Country],MAX(1,FLOOR((budgetFinal[row]-2)/(numCategories+2)+1,1))), IF(budgetFinal[catIndex]= numCategories + 1, "Subtotal " &amp; budgetFinal[director], IF(budgetFinal[catIndex] = numCategories + 2, "", IFERROR(INDEX(categories[],budgetFinal[catIndex]), ""))))</f>
        <v>Subtotal 0</v>
      </c>
      <c r="J126" s="60">
        <f>budgetMilestone1[[#This Row],[Milestone 1]]</f>
        <v>0</v>
      </c>
      <c r="K126" s="60">
        <f>budgetMilestone2[[#This Row],[Milestone 2]]</f>
        <v>0</v>
      </c>
      <c r="L126" s="60">
        <f>budgetMilestone3[[#This Row],[Milestone 3]]</f>
        <v>0</v>
      </c>
      <c r="M126" s="60">
        <f>budgetMilestone4[[#This Row],[Milestone 4]]</f>
        <v>0</v>
      </c>
      <c r="N126" s="60">
        <f t="shared" ref="N126:O126" si="9">SUBTOTAL(9,N118:N125)</f>
        <v>0</v>
      </c>
      <c r="O126" s="60">
        <f t="shared" si="9"/>
        <v>0</v>
      </c>
      <c r="P126" s="179">
        <f>ROW()-ROW(budgetFinal[#Headers])</f>
        <v>109</v>
      </c>
      <c r="Q126" s="179">
        <f>IF(budgetFinal[row] &lt;= numCategories +3, budgetFinal[row]-1, MOD(budgetFinal[row]-1,numCategories+3) + IF(MOD(budgetFinal[row]-2,numCategories+2)&gt;numCategories+1, 1,0))</f>
        <v>9</v>
      </c>
      <c r="R126" s="60">
        <f>IFERROR(INDEX(directors[Last],MAX(1,FLOOR((budgetFinal[row]-1)/(numCategories+3)+1,1))),1)</f>
        <v>0</v>
      </c>
    </row>
  </sheetData>
  <sheetProtection sheet="1" selectLockedCells="1"/>
  <mergeCells count="10">
    <mergeCell ref="A4:G4"/>
    <mergeCell ref="I4:O4"/>
    <mergeCell ref="A1:B1"/>
    <mergeCell ref="D1:G1"/>
    <mergeCell ref="I1:K1"/>
    <mergeCell ref="L1:M1"/>
    <mergeCell ref="A2:B2"/>
    <mergeCell ref="D2:G2"/>
    <mergeCell ref="I2:K2"/>
    <mergeCell ref="L2:M2"/>
  </mergeCells>
  <conditionalFormatting sqref="A18:G126 I18:R126">
    <cfRule type="expression" dxfId="129" priority="7">
      <formula>$Q18=10</formula>
    </cfRule>
    <cfRule type="expression" dxfId="128" priority="9">
      <formula>AND(CELL("Protect",A18)=0,ISODD(CELL("Row",A18)))</formula>
    </cfRule>
    <cfRule type="expression" dxfId="127" priority="10">
      <formula>AND(CELL("Protect",A18)=0,ISEVEN(CELL("Row",A18)))</formula>
    </cfRule>
    <cfRule type="expression" dxfId="126" priority="11">
      <formula>$Q18=0</formula>
    </cfRule>
    <cfRule type="expression" dxfId="125" priority="12">
      <formula>ISNUMBER(SEARCH("Subtotal",$I18))</formula>
    </cfRule>
    <cfRule type="expression" dxfId="124" priority="14">
      <formula>ISEVEN(CELL("row",A18))</formula>
    </cfRule>
  </conditionalFormatting>
  <conditionalFormatting sqref="A18:G126">
    <cfRule type="expression" dxfId="123" priority="13">
      <formula>ISODD(CELL("row",A18))</formula>
    </cfRule>
  </conditionalFormatting>
  <conditionalFormatting sqref="R118:R126 A39:G126 I39:R117 I117:I126 J116:O126">
    <cfRule type="expression" dxfId="122" priority="8">
      <formula>LEN($R39)&lt;=3</formula>
    </cfRule>
  </conditionalFormatting>
  <conditionalFormatting sqref="I31:O31">
    <cfRule type="expression" dxfId="121" priority="6">
      <formula>ISODD(CELL("row",I31))</formula>
    </cfRule>
  </conditionalFormatting>
  <conditionalFormatting sqref="I33:O33">
    <cfRule type="expression" dxfId="120" priority="5">
      <formula>ISODD(CELL("row",I33))</formula>
    </cfRule>
  </conditionalFormatting>
  <conditionalFormatting sqref="I30:O30">
    <cfRule type="expression" dxfId="119" priority="4">
      <formula>ISODD(CELL("row",I30))</formula>
    </cfRule>
  </conditionalFormatting>
  <conditionalFormatting sqref="I32:O32">
    <cfRule type="expression" dxfId="118" priority="3">
      <formula>ISODD(CELL("row",I32))</formula>
    </cfRule>
  </conditionalFormatting>
  <conditionalFormatting sqref="I34:O34">
    <cfRule type="expression" dxfId="117" priority="2">
      <formula>ISODD(CELL("row",I34))</formula>
    </cfRule>
  </conditionalFormatting>
  <conditionalFormatting sqref="I36:O36">
    <cfRule type="expression" dxfId="116" priority="1">
      <formula>ISODD(CELL("row",I36))</formula>
    </cfRule>
  </conditionalFormatting>
  <pageMargins left="0.7" right="0.7" top="0.75" bottom="0.75" header="0.3" footer="0.3"/>
  <pageSetup paperSize="9" orientation="portrait" r:id="rId1"/>
  <tableParts count="2">
    <tablePart r:id="rId2"/>
    <tablePart r:id="rId3"/>
  </tableParts>
</worksheet>
</file>

<file path=customMetadata/metadata.xml><?xml version="1.0" encoding="utf-8"?>
<metadata xmlns:m="http://www.titus.com/ns/nato" id="508749f1-7cbb-491f-a96b-781b05b65d01">
  <m:Ownership value="None (Public)">
    <alt>Ownership=None (Public)</alt>
  </m:Ownership>
</metadata>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titus xmlns="http://schemas.titus.com/TitusProperties/">
  <TitusGUID xmlns="">70461142-14a0-4a97-9d77-e75128264a96</TitusGUID>
  <TitusMetadata xmlns="">eyJucyI6Imh0dHA6XC9cL3d3dy50aXR1cy5jb21cL25zXC9uYXRvIiwicHJvcHMiOlt7Im4iOiJPd25lcnNoaXAiLCJ2YWxzIjpbeyJ2YWx1ZSI6Ik5vbmUgKFB1YmxpYykifV19LHsibiI6IkNsYXNzaWZpY2F0aW9uIiwidmFscyI6W119LHsibiI6IlJlbGVhc2FiaWxpdHkiLCJ2YWxzIjpbXX0seyJuIjoiT25seSIsInZhbHMiOltdfSx7Im4iOiJMaW1pdGVkIiwidmFscyI6W119LHsibiI6IkFkbWluaXN0cmF0aXZlTWFya2luZ3MiLCJ2YWxzIjpbXX1dfQ==</TitusMetadata>
</titus>
</file>

<file path=customXml/itemProps1.xml><?xml version="1.0" encoding="utf-8"?>
<ds:datastoreItem xmlns:ds="http://schemas.openxmlformats.org/officeDocument/2006/customXml" ds:itemID="{156915FB-4B8B-469B-9D1B-C6C71D9E7AD9}">
  <ds:schemaRefs>
    <ds:schemaRef ds:uri="http://schemas.titus.com/TitusProperties/"/>
    <ds:schemaRef ds:uri=""/>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33</vt:i4>
      </vt:variant>
    </vt:vector>
  </HeadingPairs>
  <TitlesOfParts>
    <vt:vector size="46" baseType="lpstr">
      <vt:lpstr>Info</vt:lpstr>
      <vt:lpstr>Detail</vt:lpstr>
      <vt:lpstr>Summary</vt:lpstr>
      <vt:lpstr>Financial Record</vt:lpstr>
      <vt:lpstr>Milestone 1</vt:lpstr>
      <vt:lpstr>Milestone 2</vt:lpstr>
      <vt:lpstr>Milestone 3</vt:lpstr>
      <vt:lpstr>Milestone 4</vt:lpstr>
      <vt:lpstr>Final</vt:lpstr>
      <vt:lpstr>Property</vt:lpstr>
      <vt:lpstr>Financial Report</vt:lpstr>
      <vt:lpstr>Current</vt:lpstr>
      <vt:lpstr>Reference</vt:lpstr>
      <vt:lpstr>AccountBalance</vt:lpstr>
      <vt:lpstr>allCountryList</vt:lpstr>
      <vt:lpstr>approvedBudget</vt:lpstr>
      <vt:lpstr>currency_code</vt:lpstr>
      <vt:lpstr>dateFinal</vt:lpstr>
      <vt:lpstr>dateKickoff</vt:lpstr>
      <vt:lpstr>dateMilestone1</vt:lpstr>
      <vt:lpstr>dateMilestone2</vt:lpstr>
      <vt:lpstr>dateMilestone3</vt:lpstr>
      <vt:lpstr>dateMilestone4</vt:lpstr>
      <vt:lpstr>dateReport</vt:lpstr>
      <vt:lpstr>expense_categories</vt:lpstr>
      <vt:lpstr>IPRStatusList</vt:lpstr>
      <vt:lpstr>kickoffDate</vt:lpstr>
      <vt:lpstr>milestoneCurrent</vt:lpstr>
      <vt:lpstr>milestoneReport</vt:lpstr>
      <vt:lpstr>natoCountryList</vt:lpstr>
      <vt:lpstr>NATOFundsReceived</vt:lpstr>
      <vt:lpstr>noYes</vt:lpstr>
      <vt:lpstr>NPDName</vt:lpstr>
      <vt:lpstr>partnerCountryList</vt:lpstr>
      <vt:lpstr>paymentFinal</vt:lpstr>
      <vt:lpstr>paymentKickoff</vt:lpstr>
      <vt:lpstr>paymentMilestone1</vt:lpstr>
      <vt:lpstr>paymentMilestone2</vt:lpstr>
      <vt:lpstr>paymentMilestone3</vt:lpstr>
      <vt:lpstr>paymentMilestone4</vt:lpstr>
      <vt:lpstr>ProjectBalance</vt:lpstr>
      <vt:lpstr>projectDuration</vt:lpstr>
      <vt:lpstr>projectTitle</vt:lpstr>
      <vt:lpstr>shortTitle</vt:lpstr>
      <vt:lpstr>spsRefNo</vt:lpstr>
      <vt:lpstr>stages</vt:lpstr>
    </vt:vector>
  </TitlesOfParts>
  <Company>NATO HQ</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Switkes</dc:creator>
  <cp:lastModifiedBy>Bradbrooke Jane</cp:lastModifiedBy>
  <cp:lastPrinted>2020-01-14T15:35:57Z</cp:lastPrinted>
  <dcterms:created xsi:type="dcterms:W3CDTF">2014-03-17T08:41:29Z</dcterms:created>
  <dcterms:modified xsi:type="dcterms:W3CDTF">2024-04-16T13:13:12Z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70461142-14a0-4a97-9d77-e75128264a96</vt:lpwstr>
  </property>
  <property fmtid="{D5CDD505-2E9C-101B-9397-08002B2CF9AE}" pid="3" name="Ownership">
    <vt:lpwstr>None (Public)</vt:lpwstr>
  </property>
  <property fmtid="{D5CDD505-2E9C-101B-9397-08002B2CF9AE}" pid="4" name="TitusOriginalClassifier">
    <vt:lpwstr>bradbrooke.jane</vt:lpwstr>
  </property>
  <property name="Classification" fmtid="{D5CDD505-2E9C-101B-9397-08002B2CF9AE}" pid="5">
    <vt:lpwstr>
    </vt:lpwstr>
  </property>
  <property name="Releasability" fmtid="{D5CDD505-2E9C-101B-9397-08002B2CF9AE}" pid="6">
    <vt:lpwstr>
    </vt:lpwstr>
  </property>
  <property name="Only" fmtid="{D5CDD505-2E9C-101B-9397-08002B2CF9AE}" pid="7">
    <vt:lpwstr>
    </vt:lpwstr>
  </property>
  <property name="Limited" fmtid="{D5CDD505-2E9C-101B-9397-08002B2CF9AE}" pid="8">
    <vt:lpwstr>
    </vt:lpwstr>
  </property>
  <property name="AdministrativeMarkings" fmtid="{D5CDD505-2E9C-101B-9397-08002B2CF9AE}" pid="9">
    <vt:lpwstr>
    </vt:lpwstr>
  </property>
</Properties>
</file>